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18" activeTab="0"/>
  </bookViews>
  <sheets>
    <sheet name="Final Fully Diluted" sheetId="1" r:id="rId1"/>
    <sheet name="Formation" sheetId="2" r:id="rId2"/>
    <sheet name="Series Seed Preferred" sheetId="3" r:id="rId3"/>
    <sheet name="Series A Preferred" sheetId="4" r:id="rId4"/>
    <sheet name="Series B Preferred" sheetId="5" r:id="rId5"/>
    <sheet name="Exit Transaction 1" sheetId="6" r:id="rId6"/>
    <sheet name="Exit Transaction 2" sheetId="7" r:id="rId7"/>
  </sheets>
  <definedNames/>
  <calcPr fullCalcOnLoad="1"/>
</workbook>
</file>

<file path=xl/sharedStrings.xml><?xml version="1.0" encoding="utf-8"?>
<sst xmlns="http://schemas.openxmlformats.org/spreadsheetml/2006/main" count="442" uniqueCount="229">
  <si>
    <t>Pre-Money Valuation</t>
  </si>
  <si>
    <t>Post-Money Valuation</t>
  </si>
  <si>
    <t>Post-Money Option Pool</t>
  </si>
  <si>
    <t>Total Fully Diluted</t>
  </si>
  <si>
    <t>Series B Price Per Share</t>
  </si>
  <si>
    <t>Assumptions:</t>
  </si>
  <si>
    <t>Total Round Size</t>
  </si>
  <si>
    <t>% of 
Common Stock</t>
  </si>
  <si>
    <t>Series Seed Preferred - Pro Forma Capitalization Table</t>
  </si>
  <si>
    <t xml:space="preserve">updated </t>
  </si>
  <si>
    <t>Series Seed Price Per Share</t>
  </si>
  <si>
    <t>Series A Price Per Share</t>
  </si>
  <si>
    <t>Fully Diluted Pro Forma Capitalization Table</t>
  </si>
  <si>
    <t>Series Seed Percentage Interest</t>
  </si>
  <si>
    <t>Series B  Percentage Interest</t>
  </si>
  <si>
    <t>Founder 1</t>
  </si>
  <si>
    <t>Founder 2</t>
  </si>
  <si>
    <t>Founders Price Per Share</t>
  </si>
  <si>
    <t>Founders Percentage Interest</t>
  </si>
  <si>
    <t>Formation*</t>
  </si>
  <si>
    <t>Common Stock</t>
  </si>
  <si>
    <t xml:space="preserve">Option Pool </t>
  </si>
  <si>
    <t>Stockholders</t>
  </si>
  <si>
    <t>Fully Diluted Shares</t>
  </si>
  <si>
    <t>Series A Percentage Interest</t>
  </si>
  <si>
    <t>Founder 1 Investment</t>
  </si>
  <si>
    <t>Founder 2 Investment</t>
  </si>
  <si>
    <t>B Investors' Investment</t>
  </si>
  <si>
    <t>A Investors' Investment</t>
  </si>
  <si>
    <t>Seed Investors' Investment</t>
  </si>
  <si>
    <t>Series Seed Preferred Financing</t>
  </si>
  <si>
    <t>Series A Preferred Financing</t>
  </si>
  <si>
    <t>Series B Preferred Financing</t>
  </si>
  <si>
    <t>Calculation of Total Number of Shares:</t>
  </si>
  <si>
    <t>Step 1:</t>
  </si>
  <si>
    <t>Step 2:</t>
  </si>
  <si>
    <t>Calculation of Option Pool Shares:</t>
  </si>
  <si>
    <t>Formation</t>
  </si>
  <si>
    <t>Series Seed Financing</t>
  </si>
  <si>
    <t>Series A Financing</t>
  </si>
  <si>
    <t>Series B Financing</t>
  </si>
  <si>
    <t>% of Fully Diluted Equity</t>
  </si>
  <si>
    <t>Common Stock Held by Founder 1</t>
  </si>
  <si>
    <t>Common Stock Held by Founder 2</t>
  </si>
  <si>
    <t>Subtotal</t>
  </si>
  <si>
    <r>
      <t>minus</t>
    </r>
    <r>
      <rPr>
        <sz val="10"/>
        <rFont val="arial"/>
        <family val="2"/>
      </rPr>
      <t xml:space="preserve"> Option Pool</t>
    </r>
  </si>
  <si>
    <t>Calculation of Series Seed Investor Shares:</t>
  </si>
  <si>
    <t>Series Seed Preferred Investors</t>
  </si>
  <si>
    <t>Total Number of Shares Subject to Options in Option Pool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</si>
  <si>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Required Ownership % of Seed Investors</t>
    </r>
  </si>
  <si>
    <t>Series A Preferred Investors</t>
  </si>
  <si>
    <t>Calculation of Series A Investor Shares: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</si>
  <si>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Required Ownership % of Series A Investors</t>
    </r>
  </si>
  <si>
    <t>Increase in Option Pool</t>
  </si>
  <si>
    <t>Founder 1 Shares</t>
  </si>
  <si>
    <t>Founder 2 Shares</t>
  </si>
  <si>
    <t>Total Number of Shares on a Post-money Basis</t>
  </si>
  <si>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Required Ownership % of Series A Investors</t>
    </r>
  </si>
  <si>
    <r>
      <t xml:space="preserve">minus </t>
    </r>
    <r>
      <rPr>
        <sz val="10"/>
        <rFont val="arial"/>
        <family val="2"/>
      </rPr>
      <t>Required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Ownership % of Seed Investors</t>
    </r>
  </si>
  <si>
    <t>Series Seed Preferred Investors Shares</t>
  </si>
  <si>
    <t>Calculation of Increase in Option Pool Shares:</t>
  </si>
  <si>
    <t>Series Seed Preferred Issued to Investors</t>
  </si>
  <si>
    <t>Series A Preferred Issued to Investors</t>
  </si>
  <si>
    <t>Series B Preferred Issued to Investors</t>
  </si>
  <si>
    <t>Total Fully Diluted Shares</t>
  </si>
  <si>
    <t>** Options are typically subject to vesting over a 4 year period, often with a 1 year "cliff" from the grant date before which no options may vest until the holder is employed continuously for a year.</t>
  </si>
  <si>
    <t>Option Pool **</t>
  </si>
  <si>
    <t>Post-Money Option Pool***</t>
  </si>
  <si>
    <t>***  Investors typically require an option pool of between 10% to 20% of the fully diluted capitalization to be built into the pricing of the investment.  This can vary by round.</t>
  </si>
  <si>
    <t>Founders' and Series Seed Investor's Portion of Post-Money Capitalization</t>
  </si>
  <si>
    <t>Total Required Option Pool</t>
  </si>
  <si>
    <t>Necessary Increase in Option Pool</t>
  </si>
  <si>
    <t>Reconciliation/Check on Post-Money Option Pool</t>
  </si>
  <si>
    <t>Existing Option Pool Pre-Series A</t>
  </si>
  <si>
    <t>Total Option Pool on a Post-Money Basis</t>
  </si>
  <si>
    <t>Option Pool Percentage of Fully Diluted Capitalization on Post-Money Basis</t>
  </si>
  <si>
    <t>* Founders' shares are typically subject to a right to repurchase 25% to 75% of the total, depending on how much risk has been eliminated for investors. This right of repurchase typically lapses over a vesting period of 2-4 years.</t>
  </si>
  <si>
    <t>Series A Preferred - Pro Forma Capitalization Table</t>
  </si>
  <si>
    <r>
      <t xml:space="preserve">minus </t>
    </r>
    <r>
      <rPr>
        <sz val="10"/>
        <rFont val="arial"/>
        <family val="2"/>
      </rPr>
      <t>Existing Option Pool</t>
    </r>
  </si>
  <si>
    <r>
      <rPr>
        <i/>
        <sz val="10"/>
        <rFont val="Arial"/>
        <family val="2"/>
      </rPr>
      <t>plus</t>
    </r>
    <r>
      <rPr>
        <sz val="10"/>
        <rFont val="arial"/>
        <family val="2"/>
      </rPr>
      <t xml:space="preserve"> Necessary Increase in Option Pool</t>
    </r>
  </si>
  <si>
    <r>
      <rPr>
        <i/>
        <sz val="10"/>
        <rFont val="Arial"/>
        <family val="2"/>
      </rPr>
      <t>divided by</t>
    </r>
    <r>
      <rPr>
        <sz val="10"/>
        <rFont val="arial"/>
        <family val="2"/>
      </rPr>
      <t xml:space="preserve"> Founders' and Series Seed Investor's Portion of Post-Money Capitalization</t>
    </r>
  </si>
  <si>
    <t>Series B Preferred - Pro Forma Capitalization Table</t>
  </si>
  <si>
    <t>Series B Preferred Investors</t>
  </si>
  <si>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Required Ownership % of Series B Investors</t>
    </r>
  </si>
  <si>
    <t>Beginning Capitalization Prior to Series B</t>
  </si>
  <si>
    <t>Total Number of Shares on a Post-Money Basis</t>
  </si>
  <si>
    <t>Total Number of Series A Shares Post-Closing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</si>
  <si>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Required Option Pool % Post-Closing</t>
    </r>
  </si>
  <si>
    <t>Founders' Pre-Money Interest</t>
  </si>
  <si>
    <t>Total Founders' Shares Pre-Money</t>
  </si>
  <si>
    <t>Total Shares Pre-Money</t>
  </si>
  <si>
    <t>Total Number of Series Seed Shares Post-Closing</t>
  </si>
  <si>
    <t>Formation - Pro Forma Capitalization Table</t>
  </si>
  <si>
    <t>Series A Preferred Investors Shares</t>
  </si>
  <si>
    <t>Founders' Portion of Post-Money Capitalization</t>
  </si>
  <si>
    <r>
      <t>divided by</t>
    </r>
    <r>
      <rPr>
        <sz val="10"/>
        <rFont val="arial"/>
        <family val="2"/>
      </rPr>
      <t xml:space="preserve"> Founders' Portion of Post-Money Capitalization</t>
    </r>
  </si>
  <si>
    <t>Beginning Capitalization Prior to Series A</t>
  </si>
  <si>
    <t>Calculation of Series A Investor Ratchet</t>
  </si>
  <si>
    <t>Step 1: Calculate Series A Preferred Conversion Price Post-Adjustment</t>
  </si>
  <si>
    <r>
      <t>CP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: Series A Preferred Price Per Share Pre-Money</t>
    </r>
  </si>
  <si>
    <r>
      <t>CP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: Series A Preferred Price Per Share Post-Adjustment</t>
    </r>
  </si>
  <si>
    <t>B: Series B Shares That Would Have Been Issued at a Per Share Price Equal to the Series A Preferred</t>
  </si>
  <si>
    <r>
      <t xml:space="preserve">divided by </t>
    </r>
    <r>
      <rPr>
        <sz val="10"/>
        <rFont val="arial"/>
        <family val="2"/>
      </rPr>
      <t>CP</t>
    </r>
    <r>
      <rPr>
        <vertAlign val="subscript"/>
        <sz val="10"/>
        <rFont val="Arial"/>
        <family val="2"/>
      </rPr>
      <t>1</t>
    </r>
  </si>
  <si>
    <t>C: Series B Shares Issued to the Series B Investors</t>
  </si>
  <si>
    <r>
      <t>CP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= CP</t>
    </r>
    <r>
      <rPr>
        <vertAlign val="sub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* (A + B) ÷ (A + C)</t>
    </r>
  </si>
  <si>
    <r>
      <t>Total Number of Series A Preferred Shares Based on Adjusted Conversion Price (CP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</si>
  <si>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Series A Preferred Total Round Size</t>
  </si>
  <si>
    <t>Increase in Option Pool as a Result of the Ratchet</t>
  </si>
  <si>
    <t>Calculation of Series B Gross Up Due to Series A Investor Ratchet</t>
  </si>
  <si>
    <t>Calculation of Option Pool Gross Up Due to Series A Investor Ratchet</t>
  </si>
  <si>
    <t>Series A Preferred Ratchet Adjustment</t>
  </si>
  <si>
    <t>TBD</t>
  </si>
  <si>
    <t>Pre-Money Option Pool / Options Granted*</t>
  </si>
  <si>
    <t>Additional Series B Shares Issued as a Result of the Ratchet</t>
  </si>
  <si>
    <r>
      <t>minus</t>
    </r>
    <r>
      <rPr>
        <sz val="10"/>
        <rFont val="arial"/>
        <family val="2"/>
      </rPr>
      <t xml:space="preserve"> Required Option Pool % Post Money</t>
    </r>
  </si>
  <si>
    <t>Existing Stockholders' Portion of Post-Money Capitalization</t>
  </si>
  <si>
    <t>Total Existing Stockholders' Shares Pre-money</t>
  </si>
  <si>
    <r>
      <rPr>
        <i/>
        <sz val="10"/>
        <rFont val="Arial"/>
        <family val="2"/>
      </rPr>
      <t>divided by</t>
    </r>
    <r>
      <rPr>
        <sz val="10"/>
        <rFont val="arial"/>
        <family val="2"/>
      </rPr>
      <t xml:space="preserve"> Existing Stockholders' Portion of Post-Money Capitalization</t>
    </r>
  </si>
  <si>
    <t>Calculation of Series B Investor Shares (Prior to Series A Ratchet):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</si>
  <si>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Required Ownership % of Series B Investors</t>
    </r>
  </si>
  <si>
    <t>Total Number of Series B Shares Post-Closing (Prior to Series A Ratchet)</t>
  </si>
  <si>
    <t>Classic "Broad-Based" Ratchet Formula:</t>
  </si>
  <si>
    <t>Formula Definitions:</t>
  </si>
  <si>
    <t>A: Fully Diluted Shares Pre-Money (excluding reserved but ungranted options)</t>
  </si>
  <si>
    <t>Calculation Check: Series B Preferred Total Round Size</t>
  </si>
  <si>
    <r>
      <t xml:space="preserve">Variable A </t>
    </r>
  </si>
  <si>
    <r>
      <rPr>
        <i/>
        <sz val="10"/>
        <rFont val="Arial"/>
        <family val="2"/>
      </rPr>
      <t>plus</t>
    </r>
    <r>
      <rPr>
        <sz val="10"/>
        <rFont val="Arial"/>
        <family val="0"/>
      </rPr>
      <t xml:space="preserve"> Variable B</t>
    </r>
  </si>
  <si>
    <t>Sum of (A + B) =</t>
  </si>
  <si>
    <r>
      <t>plus</t>
    </r>
    <r>
      <rPr>
        <sz val="10"/>
        <rFont val="arial"/>
        <family val="2"/>
      </rPr>
      <t xml:space="preserve"> Variable C</t>
    </r>
  </si>
  <si>
    <t>Sum of (A + C) =</t>
  </si>
  <si>
    <t>Adjustment Factor to Series A Price resulting from (A + B) ÷ (A + C)</t>
  </si>
  <si>
    <t>Original Series A Price Per Share (i.e. Variable CP1)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</si>
  <si>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Adjustment Factor to Series A Price resulting from (A + B) ÷ (A + C)</t>
    </r>
  </si>
  <si>
    <r>
      <rPr>
        <i/>
        <sz val="10"/>
        <rFont val="Arial"/>
        <family val="2"/>
      </rPr>
      <t xml:space="preserve">divided by </t>
    </r>
    <r>
      <rPr>
        <sz val="10"/>
        <rFont val="arial"/>
        <family val="2"/>
      </rPr>
      <t>CP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: Series A Preferred Price Per Share Post-Ratchet Adjustment</t>
    </r>
  </si>
  <si>
    <r>
      <t xml:space="preserve">minus </t>
    </r>
    <r>
      <rPr>
        <sz val="10"/>
        <rFont val="arial"/>
        <family val="2"/>
      </rPr>
      <t>Series A Preferred Shares (pre-Ratchet Adjustment)</t>
    </r>
  </si>
  <si>
    <t>Necessary Increase in Series A Preferred Shares from Series A Ratchet Adjustment</t>
  </si>
  <si>
    <t>Existing Number of Shares on a Pre-Money Basis</t>
  </si>
  <si>
    <r>
      <rPr>
        <i/>
        <sz val="10"/>
        <rFont val="Arial"/>
        <family val="2"/>
      </rPr>
      <t>plus</t>
    </r>
    <r>
      <rPr>
        <sz val="10"/>
        <rFont val="arial"/>
        <family val="2"/>
      </rPr>
      <t xml:space="preserve"> Series A Ratchet Adjustment Shares</t>
    </r>
  </si>
  <si>
    <t>Total Existing Stockholders' Shares Pre-money (after Series A Ratchet Adjustment)</t>
  </si>
  <si>
    <t>Total Number of Shares on a Post-Money Basis (post Ratchet Adjustment)</t>
  </si>
  <si>
    <t>Total Number of Series B Shares Post-Closing (Post Series A Ratchet)</t>
  </si>
  <si>
    <r>
      <t xml:space="preserve">minus </t>
    </r>
    <r>
      <rPr>
        <sz val="10"/>
        <rFont val="arial"/>
        <family val="2"/>
      </rPr>
      <t>Original Series B Shares Calculated Pre-Ratchet</t>
    </r>
  </si>
  <si>
    <t>Necessary Increase in Series B Investors' Shares (Post-Ratchet)</t>
  </si>
  <si>
    <t>Total Required Option Pool (Post Ratchet Adjustment)</t>
  </si>
  <si>
    <r>
      <t xml:space="preserve">minus Total Option </t>
    </r>
    <r>
      <rPr>
        <sz val="10"/>
        <rFont val="arial"/>
        <family val="2"/>
      </rPr>
      <t>Pool Post-Money (pre Series A Ratchet)</t>
    </r>
  </si>
  <si>
    <t>Recalculation/Check of Series B % Post-Ratchet Adjustment</t>
  </si>
  <si>
    <t>Recalculation/Check of Option Pool % Post-Ratchet Adjustment</t>
  </si>
  <si>
    <t>Series B Price Per Share (Post-Ratchet)</t>
  </si>
  <si>
    <t>Exit Transaction 1 - Pro Forma Capitalization Table</t>
  </si>
  <si>
    <t>Payment</t>
  </si>
  <si>
    <t>Transaction 1 Price</t>
  </si>
  <si>
    <t>Transaction 2 Price</t>
  </si>
  <si>
    <t>Calculation of Transaction Payments:</t>
  </si>
  <si>
    <t>Exit Transaction 1</t>
  </si>
  <si>
    <t>Transaction 1 Payout Amount</t>
  </si>
  <si>
    <t>Transaction 2 Payout Amount</t>
  </si>
  <si>
    <t>Exit Transaction 2</t>
  </si>
  <si>
    <t>Series B Liquidation Preference</t>
  </si>
  <si>
    <t>Price Remaining Post-Series B Preference</t>
  </si>
  <si>
    <t>Step 1: Series B Liquidation Preference</t>
  </si>
  <si>
    <r>
      <rPr>
        <i/>
        <sz val="10"/>
        <rFont val="Arial"/>
        <family val="2"/>
      </rPr>
      <t>minus</t>
    </r>
    <r>
      <rPr>
        <sz val="10"/>
        <rFont val="arial"/>
        <family val="2"/>
      </rPr>
      <t xml:space="preserve"> Series B</t>
    </r>
    <r>
      <rPr>
        <sz val="10"/>
        <rFont val="Arial"/>
        <family val="0"/>
      </rPr>
      <t xml:space="preserve"> Liquidation Preference</t>
    </r>
  </si>
  <si>
    <t>Series A Liquidation Preference</t>
  </si>
  <si>
    <t>Series Seed Liquidation Preference</t>
  </si>
  <si>
    <t>Series A Percentage of Fully Diluted Equity</t>
  </si>
  <si>
    <r>
      <t xml:space="preserve">multiplied by </t>
    </r>
    <r>
      <rPr>
        <sz val="10"/>
        <rFont val="arial"/>
        <family val="2"/>
      </rPr>
      <t>Price Remaining Post-Series B Preference</t>
    </r>
  </si>
  <si>
    <t>Series A Participating Amount of Remaining Transaction 1 Price</t>
  </si>
  <si>
    <t>Does the Series A Participating Amount of the Remaining Transaction 1 Price Exceed the Series A Liquidation Preference?</t>
  </si>
  <si>
    <t>Series Seed Percentage of Fully Diluted Equity</t>
  </si>
  <si>
    <t>Series Seed Participating Amount of Remaining Transaction 1 Price</t>
  </si>
  <si>
    <t>Does the Series Seed Participating Amount of the Remaining Transaction 1 Price Exceed the Series Seed Liquidation Preference?</t>
  </si>
  <si>
    <t>Series B Participating Amount of Remaining Transaction 1 Price</t>
  </si>
  <si>
    <r>
      <t xml:space="preserve">plus </t>
    </r>
    <r>
      <rPr>
        <sz val="10"/>
        <rFont val="arial"/>
        <family val="2"/>
      </rPr>
      <t>the Series B Liquidation Preference</t>
    </r>
  </si>
  <si>
    <t>Total Payment to Series B Investors</t>
  </si>
  <si>
    <r>
      <t xml:space="preserve">multiplied by </t>
    </r>
    <r>
      <rPr>
        <sz val="10"/>
        <rFont val="arial"/>
        <family val="2"/>
      </rPr>
      <t>Price Remaining Post-Series B &amp; A Preferences:</t>
    </r>
  </si>
  <si>
    <t>Price Remaining Post-Series B &amp; A Preferences</t>
  </si>
  <si>
    <t>Transaction Price Remaining for Common Stock Holders</t>
  </si>
  <si>
    <t>Step 4: Series B Participation As-Converted to Common Stock</t>
  </si>
  <si>
    <t>Step 2: Series A Payment Determination</t>
  </si>
  <si>
    <t>Series A Payment Equal To:</t>
  </si>
  <si>
    <t>Step 3: Series Seed Payment Determination</t>
  </si>
  <si>
    <t>Series Seed Payment Equal To:</t>
  </si>
  <si>
    <t>Price Remaining Post-Series Preferred Preferences:</t>
  </si>
  <si>
    <r>
      <t xml:space="preserve">minus </t>
    </r>
    <r>
      <rPr>
        <sz val="10"/>
        <rFont val="arial"/>
        <family val="2"/>
      </rPr>
      <t>Series A Liquidation Preference Paid</t>
    </r>
  </si>
  <si>
    <r>
      <t xml:space="preserve">minus </t>
    </r>
    <r>
      <rPr>
        <sz val="10"/>
        <rFont val="arial"/>
        <family val="2"/>
      </rPr>
      <t>Series Seed Liquidation Preference Paid</t>
    </r>
  </si>
  <si>
    <r>
      <t>minus</t>
    </r>
    <r>
      <rPr>
        <sz val="10"/>
        <rFont val="arial"/>
        <family val="2"/>
      </rPr>
      <t xml:space="preserve"> Series A Liquidation Preference Paid</t>
    </r>
  </si>
  <si>
    <t>Stockholders Pro Rata Portions of Participating Fully Diluted Equity</t>
  </si>
  <si>
    <t>Percentage</t>
  </si>
  <si>
    <t>Total:</t>
  </si>
  <si>
    <r>
      <t>Series B</t>
    </r>
    <r>
      <rPr>
        <sz val="10"/>
        <rFont val="Arial"/>
        <family val="0"/>
      </rPr>
      <t xml:space="preserve"> Liquidation Preference</t>
    </r>
  </si>
  <si>
    <t>Apply Series B Preferred 3x Cap:</t>
  </si>
  <si>
    <r>
      <t xml:space="preserve">multiplied by </t>
    </r>
    <r>
      <rPr>
        <sz val="10"/>
        <rFont val="arial"/>
        <family val="2"/>
      </rPr>
      <t>3</t>
    </r>
  </si>
  <si>
    <t>Series B Preferred Cap</t>
  </si>
  <si>
    <t>Potential Payment to Series B Investors</t>
  </si>
  <si>
    <t>Series B Preferred Cap Exceeded?</t>
  </si>
  <si>
    <t>Option Holders</t>
  </si>
  <si>
    <t>Common Shares</t>
  </si>
  <si>
    <t>Founders Payment Per Share</t>
  </si>
  <si>
    <t>Series Seed Investors Payment Per Share</t>
  </si>
  <si>
    <t>Series A Investors Payment Per Share</t>
  </si>
  <si>
    <t>Series B Investors Payment Per Share</t>
  </si>
  <si>
    <t>Option Holders Payment Per Share</t>
  </si>
  <si>
    <t>Bridge Note Conversion</t>
  </si>
  <si>
    <t>Bridge Conversion Shares</t>
  </si>
  <si>
    <t>New Series A Investor Shares</t>
  </si>
  <si>
    <t>Bridge Conversion Shares:</t>
  </si>
  <si>
    <t>New Series A Investor Shares:</t>
  </si>
  <si>
    <t>Total Value of Convertible Bridge Notes</t>
  </si>
  <si>
    <r>
      <rPr>
        <i/>
        <sz val="10"/>
        <rFont val="Arial"/>
        <family val="2"/>
      </rPr>
      <t xml:space="preserve">multiplied by </t>
    </r>
    <r>
      <rPr>
        <sz val="10"/>
        <rFont val="arial"/>
        <family val="2"/>
      </rPr>
      <t>Series A Preferred Price Per Share</t>
    </r>
  </si>
  <si>
    <t>Total Investment of New Series A Investors</t>
  </si>
  <si>
    <t>Warrants Issued to Bridge Note Holders</t>
  </si>
  <si>
    <t>Warrant Holders</t>
  </si>
  <si>
    <t>Warrants Held by Bridge Note Holders</t>
  </si>
  <si>
    <t xml:space="preserve">Warrant Holders </t>
  </si>
  <si>
    <r>
      <rPr>
        <i/>
        <sz val="10"/>
        <rFont val="Arial"/>
        <family val="2"/>
      </rPr>
      <t xml:space="preserve">divided by </t>
    </r>
    <r>
      <rPr>
        <sz val="10"/>
        <rFont val="arial"/>
        <family val="2"/>
      </rPr>
      <t>Series A Preferred Price Per Share</t>
    </r>
  </si>
  <si>
    <t>Option Pool Increase</t>
  </si>
  <si>
    <t>Pre-Money Option Pool / Options Granted</t>
  </si>
  <si>
    <t>Series A Preferred Investors (New Cash)</t>
  </si>
  <si>
    <t>Series A Preferred Investors (Bridge Conversion)</t>
  </si>
  <si>
    <t>Warrants issued to Bridge Holders</t>
  </si>
  <si>
    <r>
      <t>CP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: Series A Preferred Price Adjustment Factor</t>
    </r>
  </si>
  <si>
    <t>Step 2: Calculate the Additional Shares from Ratchet Adjustment</t>
  </si>
  <si>
    <t>multiplied by Series B Percentage of Participating Fully Diluted Equity</t>
  </si>
  <si>
    <t>Price Remaining Post-Series Preferred Preferences</t>
  </si>
  <si>
    <t>Step 5: If Series B Cap Applied, Reallocate Excess Payment to Other Stockholders</t>
  </si>
  <si>
    <t>Excess Series B Payment</t>
  </si>
  <si>
    <r>
      <t>minus</t>
    </r>
    <r>
      <rPr>
        <sz val="10"/>
        <rFont val="arial"/>
        <family val="2"/>
      </rPr>
      <t xml:space="preserve"> Total Payment to Series B Investors Due To Cap</t>
    </r>
  </si>
  <si>
    <t>Excess Amount Allocable to Other Stockholders</t>
  </si>
  <si>
    <t>Reallocation of Excess Payment</t>
  </si>
  <si>
    <t>Portion of Excess Payment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</si>
</sst>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0.00000000000000000%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_(* #,##0.000000000_);_(* \(#,##0.000000000\);_(* &quot;-&quot;??_);_(@_)"/>
    <numFmt numFmtId="175" formatCode="_(* #,##0.0000000000_);_(* \(#,##0.0000000000\);_(* &quot;-&quot;??_);_(@_)"/>
    <numFmt numFmtId="176" formatCode="_(* #,##0.00000000000_);_(* \(#,##0.00000000000\);_(* &quot;-&quot;??_);_(@_)"/>
    <numFmt numFmtId="177" formatCode="_(* #,##0.000000000000_);_(* \(#,##0.000000000000\);_(* &quot;-&quot;??_);_(@_)"/>
    <numFmt numFmtId="178" formatCode="_(* #,##0.0000000000000_);_(* \(#,##0.0000000000000\);_(* &quot;-&quot;??_);_(@_)"/>
    <numFmt numFmtId="179" formatCode="_(* #,##0.00000000000000_);_(* \(#,##0.00000000000000\);_(* &quot;-&quot;??_);_(@_)"/>
    <numFmt numFmtId="180" formatCode="_(* #,##0.000000000000000_);_(* \(#,##0.000000000000000\);_(* &quot;-&quot;??_);_(@_)"/>
    <numFmt numFmtId="181" formatCode="_(* #,##0.0000000000000000_);_(* \(#,##0.0000000000000000\);_(* &quot;-&quot;??_);_(@_)"/>
    <numFmt numFmtId="182" formatCode="_(* #,##0.00000000000000000_);_(* \(#,##0.00000000000000000\);_(* &quot;-&quot;??_);_(@_)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&quot;$&quot;* #,##0.000_);_(&quot;$&quot;* \(#,##0.000\);_(&quot;$&quot;* &quot;-&quot;??_);_(@_)"/>
    <numFmt numFmtId="201" formatCode="_(&quot;$&quot;* #,##0.00000_);_(&quot;$&quot;* \(#,##0.00000\);_(&quot;$&quot;* &quot;-&quot;??_);_(@_)"/>
    <numFmt numFmtId="202" formatCode="_(&quot;$&quot;* #,##0.0_);_(&quot;$&quot;* \(#,##0.0\);_(&quot;$&quot;* &quot;-&quot;??_);_(@_)"/>
    <numFmt numFmtId="203" formatCode="_(&quot;$&quot;* #,##0_);_(&quot;$&quot;* \(#,##0\);_(&quot;$&quot;* &quot;-&quot;??_);_(@_)"/>
    <numFmt numFmtId="204" formatCode="_(&quot;$&quot;* #,##0.000000_);_(&quot;$&quot;* \(#,##0.000000\);_(&quot;$&quot;* &quot;-&quot;??_);_(@_)"/>
    <numFmt numFmtId="205" formatCode="_(&quot;$&quot;* #,##0.0000_);_(&quot;$&quot;* \(#,##0.0000\);_(&quot;$&quot;* &quot;-&quot;????_);_(@_)"/>
    <numFmt numFmtId="206" formatCode="0.000"/>
    <numFmt numFmtId="207" formatCode="0.0"/>
    <numFmt numFmtId="208" formatCode="_(* #,##0.000_);_(* \(#,##0.000\);_(* &quot;-&quot;???_);_(@_)"/>
    <numFmt numFmtId="209" formatCode="[$-409]dddd\,\ mmmm\ dd\,\ yyyy"/>
    <numFmt numFmtId="210" formatCode="[$-409]h:mm:ss\ AM/PM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right"/>
    </xf>
    <xf numFmtId="14" fontId="31" fillId="0" borderId="0" xfId="0" applyNumberFormat="1" applyFont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14" fontId="33" fillId="0" borderId="0" xfId="0" applyNumberFormat="1" applyFont="1" applyAlignment="1">
      <alignment horizontal="left"/>
    </xf>
    <xf numFmtId="0" fontId="34" fillId="0" borderId="0" xfId="0" applyFont="1" applyFill="1" applyBorder="1" applyAlignment="1">
      <alignment/>
    </xf>
    <xf numFmtId="44" fontId="32" fillId="0" borderId="10" xfId="44" applyFont="1" applyFill="1" applyBorder="1" applyAlignment="1">
      <alignment/>
    </xf>
    <xf numFmtId="0" fontId="32" fillId="0" borderId="0" xfId="0" applyFont="1" applyFill="1" applyBorder="1" applyAlignment="1">
      <alignment/>
    </xf>
    <xf numFmtId="44" fontId="32" fillId="0" borderId="0" xfId="44" applyFont="1" applyFill="1" applyBorder="1" applyAlignment="1">
      <alignment/>
    </xf>
    <xf numFmtId="44" fontId="34" fillId="0" borderId="11" xfId="44" applyFont="1" applyFill="1" applyBorder="1" applyAlignment="1">
      <alignment/>
    </xf>
    <xf numFmtId="44" fontId="34" fillId="0" borderId="0" xfId="44" applyFont="1" applyFill="1" applyBorder="1" applyAlignment="1">
      <alignment/>
    </xf>
    <xf numFmtId="9" fontId="32" fillId="0" borderId="0" xfId="60" applyFont="1" applyFill="1" applyBorder="1" applyAlignment="1">
      <alignment/>
    </xf>
    <xf numFmtId="165" fontId="34" fillId="9" borderId="0" xfId="44" applyNumberFormat="1" applyFont="1" applyFill="1" applyBorder="1" applyAlignment="1">
      <alignment/>
    </xf>
    <xf numFmtId="0" fontId="34" fillId="33" borderId="0" xfId="0" applyFont="1" applyFill="1" applyBorder="1" applyAlignment="1">
      <alignment horizontal="center" wrapText="1"/>
    </xf>
    <xf numFmtId="165" fontId="34" fillId="33" borderId="0" xfId="44" applyNumberFormat="1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10" borderId="0" xfId="0" applyFont="1" applyFill="1" applyAlignment="1">
      <alignment/>
    </xf>
    <xf numFmtId="0" fontId="32" fillId="9" borderId="0" xfId="0" applyFont="1" applyFill="1" applyAlignment="1">
      <alignment/>
    </xf>
    <xf numFmtId="9" fontId="34" fillId="33" borderId="0" xfId="60" applyFont="1" applyFill="1" applyBorder="1" applyAlignment="1">
      <alignment/>
    </xf>
    <xf numFmtId="9" fontId="34" fillId="9" borderId="0" xfId="60" applyFont="1" applyFill="1" applyBorder="1" applyAlignment="1">
      <alignment/>
    </xf>
    <xf numFmtId="9" fontId="34" fillId="10" borderId="0" xfId="60" applyFont="1" applyFill="1" applyBorder="1" applyAlignment="1">
      <alignment/>
    </xf>
    <xf numFmtId="0" fontId="32" fillId="11" borderId="0" xfId="0" applyFont="1" applyFill="1" applyAlignment="1">
      <alignment/>
    </xf>
    <xf numFmtId="44" fontId="32" fillId="0" borderId="0" xfId="44" applyFont="1" applyAlignment="1">
      <alignment/>
    </xf>
    <xf numFmtId="0" fontId="34" fillId="11" borderId="0" xfId="0" applyFont="1" applyFill="1" applyAlignment="1">
      <alignment/>
    </xf>
    <xf numFmtId="9" fontId="34" fillId="11" borderId="0" xfId="60" applyFont="1" applyFill="1" applyAlignment="1">
      <alignment/>
    </xf>
    <xf numFmtId="0" fontId="34" fillId="0" borderId="12" xfId="0" applyFont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14" xfId="0" applyFont="1" applyBorder="1" applyAlignment="1">
      <alignment/>
    </xf>
    <xf numFmtId="164" fontId="34" fillId="0" borderId="15" xfId="42" applyNumberFormat="1" applyFont="1" applyBorder="1" applyAlignment="1">
      <alignment horizontal="right"/>
    </xf>
    <xf numFmtId="10" fontId="34" fillId="0" borderId="16" xfId="6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164" fontId="34" fillId="0" borderId="0" xfId="42" applyNumberFormat="1" applyFont="1" applyBorder="1" applyAlignment="1">
      <alignment horizontal="right"/>
    </xf>
    <xf numFmtId="10" fontId="34" fillId="0" borderId="0" xfId="60" applyNumberFormat="1" applyFont="1" applyBorder="1" applyAlignment="1">
      <alignment horizontal="right"/>
    </xf>
    <xf numFmtId="0" fontId="32" fillId="0" borderId="0" xfId="0" applyFont="1" applyFill="1" applyAlignment="1">
      <alignment/>
    </xf>
    <xf numFmtId="0" fontId="32" fillId="10" borderId="13" xfId="0" applyFont="1" applyFill="1" applyBorder="1" applyAlignment="1">
      <alignment/>
    </xf>
    <xf numFmtId="0" fontId="32" fillId="11" borderId="17" xfId="0" applyFont="1" applyFill="1" applyBorder="1" applyAlignment="1">
      <alignment/>
    </xf>
    <xf numFmtId="0" fontId="32" fillId="11" borderId="13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164" fontId="32" fillId="0" borderId="18" xfId="42" applyNumberFormat="1" applyFont="1" applyFill="1" applyBorder="1" applyAlignment="1">
      <alignment horizontal="right"/>
    </xf>
    <xf numFmtId="164" fontId="32" fillId="0" borderId="19" xfId="42" applyNumberFormat="1" applyFont="1" applyFill="1" applyBorder="1" applyAlignment="1">
      <alignment horizontal="right"/>
    </xf>
    <xf numFmtId="10" fontId="32" fillId="0" borderId="20" xfId="60" applyNumberFormat="1" applyFont="1" applyFill="1" applyBorder="1" applyAlignment="1">
      <alignment horizontal="right"/>
    </xf>
    <xf numFmtId="164" fontId="32" fillId="0" borderId="19" xfId="42" applyNumberFormat="1" applyFont="1" applyFill="1" applyBorder="1" applyAlignment="1">
      <alignment horizontal="center"/>
    </xf>
    <xf numFmtId="164" fontId="32" fillId="0" borderId="21" xfId="42" applyNumberFormat="1" applyFont="1" applyBorder="1" applyAlignment="1">
      <alignment horizontal="right"/>
    </xf>
    <xf numFmtId="10" fontId="32" fillId="0" borderId="22" xfId="60" applyNumberFormat="1" applyFont="1" applyBorder="1" applyAlignment="1">
      <alignment horizontal="right"/>
    </xf>
    <xf numFmtId="15" fontId="34" fillId="0" borderId="23" xfId="0" applyNumberFormat="1" applyFont="1" applyFill="1" applyBorder="1" applyAlignment="1">
      <alignment horizontal="center" vertical="center" wrapText="1"/>
    </xf>
    <xf numFmtId="15" fontId="34" fillId="0" borderId="24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/>
    </xf>
    <xf numFmtId="0" fontId="32" fillId="0" borderId="26" xfId="0" applyFont="1" applyBorder="1" applyAlignment="1">
      <alignment/>
    </xf>
    <xf numFmtId="15" fontId="34" fillId="0" borderId="27" xfId="0" applyNumberFormat="1" applyFont="1" applyFill="1" applyBorder="1" applyAlignment="1">
      <alignment horizontal="center" vertical="center" wrapText="1"/>
    </xf>
    <xf numFmtId="0" fontId="32" fillId="0" borderId="28" xfId="0" applyFont="1" applyBorder="1" applyAlignment="1">
      <alignment/>
    </xf>
    <xf numFmtId="0" fontId="32" fillId="0" borderId="29" xfId="0" applyFont="1" applyBorder="1" applyAlignment="1">
      <alignment/>
    </xf>
    <xf numFmtId="164" fontId="34" fillId="0" borderId="27" xfId="42" applyNumberFormat="1" applyFont="1" applyBorder="1" applyAlignment="1">
      <alignment horizontal="right"/>
    </xf>
    <xf numFmtId="10" fontId="34" fillId="0" borderId="24" xfId="60" applyNumberFormat="1" applyFont="1" applyBorder="1" applyAlignment="1">
      <alignment horizontal="right"/>
    </xf>
    <xf numFmtId="0" fontId="34" fillId="0" borderId="12" xfId="0" applyFont="1" applyBorder="1" applyAlignment="1">
      <alignment vertical="center"/>
    </xf>
    <xf numFmtId="0" fontId="32" fillId="0" borderId="30" xfId="0" applyFont="1" applyBorder="1" applyAlignment="1">
      <alignment/>
    </xf>
    <xf numFmtId="0" fontId="34" fillId="0" borderId="30" xfId="0" applyFont="1" applyFill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32" xfId="0" applyFont="1" applyBorder="1" applyAlignment="1">
      <alignment horizontal="center" vertical="center" wrapText="1"/>
    </xf>
    <xf numFmtId="0" fontId="30" fillId="11" borderId="0" xfId="0" applyFont="1" applyFill="1" applyAlignment="1">
      <alignment/>
    </xf>
    <xf numFmtId="0" fontId="0" fillId="11" borderId="0" xfId="0" applyFill="1" applyAlignment="1">
      <alignment/>
    </xf>
    <xf numFmtId="0" fontId="30" fillId="33" borderId="0" xfId="0" applyFont="1" applyFill="1" applyAlignment="1">
      <alignment/>
    </xf>
    <xf numFmtId="10" fontId="32" fillId="0" borderId="33" xfId="60" applyNumberFormat="1" applyFont="1" applyFill="1" applyBorder="1" applyAlignment="1">
      <alignment horizontal="right"/>
    </xf>
    <xf numFmtId="10" fontId="32" fillId="0" borderId="34" xfId="60" applyNumberFormat="1" applyFont="1" applyFill="1" applyBorder="1" applyAlignment="1">
      <alignment horizontal="right"/>
    </xf>
    <xf numFmtId="164" fontId="32" fillId="0" borderId="35" xfId="42" applyNumberFormat="1" applyFont="1" applyFill="1" applyBorder="1" applyAlignment="1">
      <alignment horizontal="center"/>
    </xf>
    <xf numFmtId="164" fontId="32" fillId="0" borderId="36" xfId="42" applyNumberFormat="1" applyFont="1" applyFill="1" applyBorder="1" applyAlignment="1">
      <alignment horizontal="center"/>
    </xf>
    <xf numFmtId="10" fontId="32" fillId="0" borderId="37" xfId="60" applyNumberFormat="1" applyFont="1" applyFill="1" applyBorder="1" applyAlignment="1">
      <alignment horizontal="right"/>
    </xf>
    <xf numFmtId="164" fontId="32" fillId="0" borderId="38" xfId="42" applyNumberFormat="1" applyFont="1" applyFill="1" applyBorder="1" applyAlignment="1">
      <alignment horizontal="center"/>
    </xf>
    <xf numFmtId="10" fontId="32" fillId="0" borderId="39" xfId="60" applyNumberFormat="1" applyFont="1" applyFill="1" applyBorder="1" applyAlignment="1">
      <alignment horizontal="right"/>
    </xf>
    <xf numFmtId="164" fontId="32" fillId="0" borderId="40" xfId="42" applyNumberFormat="1" applyFont="1" applyFill="1" applyBorder="1" applyAlignment="1">
      <alignment horizontal="center"/>
    </xf>
    <xf numFmtId="164" fontId="32" fillId="0" borderId="40" xfId="42" applyNumberFormat="1" applyFont="1" applyBorder="1" applyAlignment="1">
      <alignment/>
    </xf>
    <xf numFmtId="0" fontId="32" fillId="9" borderId="13" xfId="0" applyFont="1" applyFill="1" applyBorder="1" applyAlignment="1">
      <alignment horizontal="left" vertical="top" wrapText="1"/>
    </xf>
    <xf numFmtId="164" fontId="32" fillId="0" borderId="40" xfId="42" applyNumberFormat="1" applyFont="1" applyFill="1" applyBorder="1" applyAlignment="1">
      <alignment/>
    </xf>
    <xf numFmtId="0" fontId="0" fillId="0" borderId="0" xfId="0" applyFill="1" applyAlignment="1">
      <alignment/>
    </xf>
    <xf numFmtId="164" fontId="32" fillId="0" borderId="41" xfId="42" applyNumberFormat="1" applyFont="1" applyFill="1" applyBorder="1" applyAlignment="1">
      <alignment horizontal="center"/>
    </xf>
    <xf numFmtId="164" fontId="32" fillId="0" borderId="0" xfId="0" applyNumberFormat="1" applyFont="1" applyBorder="1" applyAlignment="1">
      <alignment/>
    </xf>
    <xf numFmtId="164" fontId="32" fillId="0" borderId="42" xfId="0" applyNumberFormat="1" applyFont="1" applyBorder="1" applyAlignment="1">
      <alignment/>
    </xf>
    <xf numFmtId="9" fontId="32" fillId="0" borderId="43" xfId="60" applyFont="1" applyBorder="1" applyAlignment="1">
      <alignment/>
    </xf>
    <xf numFmtId="9" fontId="32" fillId="0" borderId="33" xfId="60" applyFont="1" applyBorder="1" applyAlignment="1">
      <alignment/>
    </xf>
    <xf numFmtId="9" fontId="32" fillId="0" borderId="44" xfId="60" applyFont="1" applyBorder="1" applyAlignment="1">
      <alignment/>
    </xf>
    <xf numFmtId="10" fontId="32" fillId="0" borderId="45" xfId="60" applyNumberFormat="1" applyFont="1" applyFill="1" applyBorder="1" applyAlignment="1">
      <alignment horizontal="right"/>
    </xf>
    <xf numFmtId="10" fontId="32" fillId="0" borderId="46" xfId="60" applyNumberFormat="1" applyFont="1" applyFill="1" applyBorder="1" applyAlignment="1">
      <alignment horizontal="right"/>
    </xf>
    <xf numFmtId="10" fontId="32" fillId="0" borderId="47" xfId="60" applyNumberFormat="1" applyFont="1" applyBorder="1" applyAlignment="1">
      <alignment horizontal="right"/>
    </xf>
    <xf numFmtId="0" fontId="34" fillId="0" borderId="27" xfId="0" applyFont="1" applyBorder="1" applyAlignment="1">
      <alignment horizontal="center" vertical="center" wrapText="1"/>
    </xf>
    <xf numFmtId="15" fontId="34" fillId="0" borderId="48" xfId="0" applyNumberFormat="1" applyFont="1" applyFill="1" applyBorder="1" applyAlignment="1">
      <alignment horizontal="center" vertical="center" wrapText="1"/>
    </xf>
    <xf numFmtId="164" fontId="34" fillId="0" borderId="49" xfId="0" applyNumberFormat="1" applyFont="1" applyBorder="1" applyAlignment="1">
      <alignment/>
    </xf>
    <xf numFmtId="9" fontId="34" fillId="0" borderId="50" xfId="60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44" fontId="34" fillId="11" borderId="0" xfId="44" applyNumberFormat="1" applyFont="1" applyFill="1" applyBorder="1" applyAlignment="1">
      <alignment/>
    </xf>
    <xf numFmtId="10" fontId="32" fillId="0" borderId="51" xfId="60" applyNumberFormat="1" applyFont="1" applyBorder="1" applyAlignment="1">
      <alignment/>
    </xf>
    <xf numFmtId="10" fontId="32" fillId="0" borderId="33" xfId="60" applyNumberFormat="1" applyFont="1" applyBorder="1" applyAlignment="1">
      <alignment/>
    </xf>
    <xf numFmtId="43" fontId="0" fillId="0" borderId="0" xfId="42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0" fontId="32" fillId="0" borderId="29" xfId="60" applyNumberFormat="1" applyFont="1" applyBorder="1" applyAlignment="1">
      <alignment/>
    </xf>
    <xf numFmtId="43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164" fontId="32" fillId="0" borderId="52" xfId="42" applyNumberFormat="1" applyFont="1" applyFill="1" applyBorder="1" applyAlignment="1">
      <alignment horizontal="right"/>
    </xf>
    <xf numFmtId="10" fontId="34" fillId="0" borderId="50" xfId="60" applyNumberFormat="1" applyFont="1" applyBorder="1" applyAlignment="1">
      <alignment/>
    </xf>
    <xf numFmtId="0" fontId="2" fillId="0" borderId="0" xfId="0" applyFont="1" applyAlignment="1">
      <alignment/>
    </xf>
    <xf numFmtId="9" fontId="7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164" fontId="32" fillId="0" borderId="53" xfId="42" applyNumberFormat="1" applyFont="1" applyFill="1" applyBorder="1" applyAlignment="1">
      <alignment horizontal="center"/>
    </xf>
    <xf numFmtId="164" fontId="32" fillId="0" borderId="54" xfId="42" applyNumberFormat="1" applyFont="1" applyFill="1" applyBorder="1" applyAlignment="1">
      <alignment horizontal="center"/>
    </xf>
    <xf numFmtId="164" fontId="32" fillId="0" borderId="55" xfId="42" applyNumberFormat="1" applyFont="1" applyBorder="1" applyAlignment="1">
      <alignment/>
    </xf>
    <xf numFmtId="164" fontId="32" fillId="0" borderId="54" xfId="42" applyNumberFormat="1" applyFont="1" applyBorder="1" applyAlignment="1">
      <alignment/>
    </xf>
    <xf numFmtId="0" fontId="32" fillId="0" borderId="56" xfId="0" applyFont="1" applyBorder="1" applyAlignment="1">
      <alignment/>
    </xf>
    <xf numFmtId="164" fontId="34" fillId="0" borderId="49" xfId="42" applyNumberFormat="1" applyFont="1" applyBorder="1" applyAlignment="1">
      <alignment horizontal="right"/>
    </xf>
    <xf numFmtId="9" fontId="4" fillId="0" borderId="11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9" fontId="4" fillId="0" borderId="57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164" fontId="32" fillId="0" borderId="58" xfId="42" applyNumberFormat="1" applyFont="1" applyFill="1" applyBorder="1" applyAlignment="1">
      <alignment horizontal="center"/>
    </xf>
    <xf numFmtId="0" fontId="32" fillId="0" borderId="59" xfId="0" applyFont="1" applyBorder="1" applyAlignment="1">
      <alignment/>
    </xf>
    <xf numFmtId="164" fontId="32" fillId="0" borderId="60" xfId="42" applyNumberFormat="1" applyFont="1" applyFill="1" applyBorder="1" applyAlignment="1">
      <alignment horizontal="center"/>
    </xf>
    <xf numFmtId="15" fontId="34" fillId="0" borderId="49" xfId="0" applyNumberFormat="1" applyFont="1" applyFill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164" fontId="32" fillId="0" borderId="0" xfId="42" applyNumberFormat="1" applyFont="1" applyFill="1" applyBorder="1" applyAlignment="1">
      <alignment horizontal="center"/>
    </xf>
    <xf numFmtId="15" fontId="34" fillId="11" borderId="23" xfId="0" applyNumberFormat="1" applyFont="1" applyFill="1" applyBorder="1" applyAlignment="1">
      <alignment horizontal="center" vertical="center" wrapText="1"/>
    </xf>
    <xf numFmtId="15" fontId="34" fillId="11" borderId="24" xfId="0" applyNumberFormat="1" applyFont="1" applyFill="1" applyBorder="1" applyAlignment="1">
      <alignment horizontal="center" vertical="center" wrapText="1"/>
    </xf>
    <xf numFmtId="15" fontId="34" fillId="8" borderId="49" xfId="0" applyNumberFormat="1" applyFont="1" applyFill="1" applyBorder="1" applyAlignment="1">
      <alignment horizontal="center" vertical="center" wrapText="1"/>
    </xf>
    <xf numFmtId="0" fontId="34" fillId="8" borderId="61" xfId="0" applyFont="1" applyFill="1" applyBorder="1" applyAlignment="1">
      <alignment horizontal="center" vertical="center" wrapText="1"/>
    </xf>
    <xf numFmtId="15" fontId="34" fillId="8" borderId="24" xfId="0" applyNumberFormat="1" applyFont="1" applyFill="1" applyBorder="1" applyAlignment="1">
      <alignment horizontal="center" vertical="center" wrapText="1"/>
    </xf>
    <xf numFmtId="0" fontId="34" fillId="33" borderId="62" xfId="0" applyFont="1" applyFill="1" applyBorder="1" applyAlignment="1">
      <alignment/>
    </xf>
    <xf numFmtId="15" fontId="34" fillId="10" borderId="27" xfId="0" applyNumberFormat="1" applyFont="1" applyFill="1" applyBorder="1" applyAlignment="1">
      <alignment horizontal="center" vertical="center" wrapText="1"/>
    </xf>
    <xf numFmtId="0" fontId="34" fillId="10" borderId="61" xfId="0" applyFont="1" applyFill="1" applyBorder="1" applyAlignment="1">
      <alignment horizontal="center" vertical="center" wrapText="1"/>
    </xf>
    <xf numFmtId="15" fontId="34" fillId="10" borderId="24" xfId="0" applyNumberFormat="1" applyFont="1" applyFill="1" applyBorder="1" applyAlignment="1">
      <alignment horizontal="center" vertical="center" wrapText="1"/>
    </xf>
    <xf numFmtId="15" fontId="34" fillId="9" borderId="27" xfId="0" applyNumberFormat="1" applyFont="1" applyFill="1" applyBorder="1" applyAlignment="1">
      <alignment horizontal="center" vertical="center" wrapText="1"/>
    </xf>
    <xf numFmtId="15" fontId="34" fillId="9" borderId="24" xfId="0" applyNumberFormat="1" applyFont="1" applyFill="1" applyBorder="1" applyAlignment="1">
      <alignment horizontal="center" vertical="center" wrapText="1"/>
    </xf>
    <xf numFmtId="9" fontId="32" fillId="0" borderId="63" xfId="60" applyNumberFormat="1" applyFont="1" applyFill="1" applyBorder="1" applyAlignment="1">
      <alignment horizontal="right"/>
    </xf>
    <xf numFmtId="9" fontId="32" fillId="0" borderId="20" xfId="60" applyNumberFormat="1" applyFont="1" applyFill="1" applyBorder="1" applyAlignment="1">
      <alignment horizontal="right"/>
    </xf>
    <xf numFmtId="9" fontId="32" fillId="0" borderId="64" xfId="60" applyNumberFormat="1" applyFont="1" applyFill="1" applyBorder="1" applyAlignment="1">
      <alignment horizontal="right"/>
    </xf>
    <xf numFmtId="9" fontId="32" fillId="0" borderId="22" xfId="60" applyNumberFormat="1" applyFont="1" applyBorder="1" applyAlignment="1">
      <alignment horizontal="right"/>
    </xf>
    <xf numFmtId="9" fontId="34" fillId="0" borderId="24" xfId="6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164" fontId="32" fillId="0" borderId="65" xfId="0" applyNumberFormat="1" applyFont="1" applyBorder="1" applyAlignment="1">
      <alignment/>
    </xf>
    <xf numFmtId="164" fontId="32" fillId="0" borderId="60" xfId="0" applyNumberFormat="1" applyFont="1" applyBorder="1" applyAlignment="1">
      <alignment/>
    </xf>
    <xf numFmtId="164" fontId="32" fillId="0" borderId="66" xfId="0" applyNumberFormat="1" applyFont="1" applyBorder="1" applyAlignment="1">
      <alignment/>
    </xf>
    <xf numFmtId="164" fontId="34" fillId="0" borderId="61" xfId="42" applyNumberFormat="1" applyFont="1" applyBorder="1" applyAlignment="1">
      <alignment/>
    </xf>
    <xf numFmtId="0" fontId="32" fillId="0" borderId="67" xfId="0" applyFont="1" applyFill="1" applyBorder="1" applyAlignment="1">
      <alignment/>
    </xf>
    <xf numFmtId="0" fontId="32" fillId="0" borderId="68" xfId="0" applyFont="1" applyFill="1" applyBorder="1" applyAlignment="1">
      <alignment/>
    </xf>
    <xf numFmtId="0" fontId="32" fillId="0" borderId="68" xfId="0" applyFont="1" applyFill="1" applyBorder="1" applyAlignment="1">
      <alignment wrapText="1"/>
    </xf>
    <xf numFmtId="0" fontId="32" fillId="0" borderId="69" xfId="0" applyFont="1" applyBorder="1" applyAlignment="1">
      <alignment/>
    </xf>
    <xf numFmtId="0" fontId="32" fillId="0" borderId="70" xfId="0" applyFont="1" applyFill="1" applyBorder="1" applyAlignment="1">
      <alignment/>
    </xf>
    <xf numFmtId="164" fontId="32" fillId="0" borderId="71" xfId="42" applyNumberFormat="1" applyFont="1" applyFill="1" applyBorder="1" applyAlignment="1">
      <alignment horizontal="center"/>
    </xf>
    <xf numFmtId="10" fontId="32" fillId="0" borderId="43" xfId="6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4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4" fillId="0" borderId="11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164" fontId="34" fillId="0" borderId="61" xfId="42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left"/>
    </xf>
    <xf numFmtId="9" fontId="4" fillId="0" borderId="0" xfId="60" applyFont="1" applyBorder="1" applyAlignment="1">
      <alignment/>
    </xf>
    <xf numFmtId="9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34" fillId="10" borderId="0" xfId="44" applyNumberFormat="1" applyFont="1" applyFill="1" applyBorder="1" applyAlignment="1">
      <alignment/>
    </xf>
    <xf numFmtId="0" fontId="34" fillId="10" borderId="0" xfId="0" applyFont="1" applyFill="1" applyAlignment="1">
      <alignment/>
    </xf>
    <xf numFmtId="0" fontId="30" fillId="10" borderId="0" xfId="0" applyFont="1" applyFill="1" applyAlignment="1">
      <alignment/>
    </xf>
    <xf numFmtId="0" fontId="34" fillId="9" borderId="0" xfId="0" applyFont="1" applyFill="1" applyAlignment="1">
      <alignment/>
    </xf>
    <xf numFmtId="0" fontId="30" fillId="9" borderId="0" xfId="0" applyFont="1" applyFill="1" applyAlignment="1">
      <alignment/>
    </xf>
    <xf numFmtId="0" fontId="34" fillId="9" borderId="0" xfId="0" applyFont="1" applyFill="1" applyAlignment="1">
      <alignment horizontal="left"/>
    </xf>
    <xf numFmtId="0" fontId="32" fillId="0" borderId="68" xfId="0" applyFont="1" applyFill="1" applyBorder="1" applyAlignment="1">
      <alignment/>
    </xf>
    <xf numFmtId="164" fontId="4" fillId="0" borderId="10" xfId="42" applyNumberFormat="1" applyFont="1" applyBorder="1" applyAlignment="1">
      <alignment/>
    </xf>
    <xf numFmtId="9" fontId="7" fillId="0" borderId="11" xfId="60" applyNumberFormat="1" applyFont="1" applyBorder="1" applyAlignment="1">
      <alignment/>
    </xf>
    <xf numFmtId="164" fontId="34" fillId="0" borderId="23" xfId="42" applyNumberFormat="1" applyFont="1" applyBorder="1" applyAlignment="1">
      <alignment horizontal="right"/>
    </xf>
    <xf numFmtId="15" fontId="34" fillId="9" borderId="16" xfId="0" applyNumberFormat="1" applyFont="1" applyFill="1" applyBorder="1" applyAlignment="1">
      <alignment horizontal="center" vertical="center" wrapText="1"/>
    </xf>
    <xf numFmtId="0" fontId="32" fillId="0" borderId="72" xfId="0" applyFont="1" applyBorder="1" applyAlignment="1">
      <alignment/>
    </xf>
    <xf numFmtId="164" fontId="34" fillId="0" borderId="16" xfId="42" applyNumberFormat="1" applyFont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4" fillId="0" borderId="73" xfId="0" applyFont="1" applyBorder="1" applyAlignment="1">
      <alignment horizontal="center" vertical="center" wrapText="1"/>
    </xf>
    <xf numFmtId="164" fontId="32" fillId="0" borderId="73" xfId="0" applyNumberFormat="1" applyFont="1" applyBorder="1" applyAlignment="1">
      <alignment/>
    </xf>
    <xf numFmtId="0" fontId="32" fillId="0" borderId="73" xfId="0" applyFont="1" applyBorder="1" applyAlignment="1">
      <alignment/>
    </xf>
    <xf numFmtId="164" fontId="34" fillId="0" borderId="73" xfId="0" applyNumberFormat="1" applyFont="1" applyBorder="1" applyAlignment="1">
      <alignment/>
    </xf>
    <xf numFmtId="15" fontId="34" fillId="11" borderId="16" xfId="0" applyNumberFormat="1" applyFont="1" applyFill="1" applyBorder="1" applyAlignment="1">
      <alignment horizontal="center" vertical="center" wrapText="1"/>
    </xf>
    <xf numFmtId="164" fontId="32" fillId="0" borderId="58" xfId="42" applyNumberFormat="1" applyFont="1" applyFill="1" applyBorder="1" applyAlignment="1">
      <alignment horizontal="right"/>
    </xf>
    <xf numFmtId="164" fontId="32" fillId="0" borderId="42" xfId="42" applyNumberFormat="1" applyFont="1" applyFill="1" applyBorder="1" applyAlignment="1">
      <alignment horizontal="right"/>
    </xf>
    <xf numFmtId="164" fontId="32" fillId="0" borderId="72" xfId="42" applyNumberFormat="1" applyFont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0" fontId="30" fillId="0" borderId="0" xfId="0" applyFont="1" applyFill="1" applyAlignment="1">
      <alignment/>
    </xf>
    <xf numFmtId="164" fontId="32" fillId="0" borderId="74" xfId="42" applyNumberFormat="1" applyFont="1" applyFill="1" applyBorder="1" applyAlignment="1">
      <alignment horizontal="center"/>
    </xf>
    <xf numFmtId="164" fontId="32" fillId="0" borderId="40" xfId="42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 vertical="center" wrapText="1"/>
    </xf>
    <xf numFmtId="10" fontId="32" fillId="0" borderId="34" xfId="60" applyNumberFormat="1" applyFont="1" applyBorder="1" applyAlignment="1">
      <alignment/>
    </xf>
    <xf numFmtId="10" fontId="32" fillId="0" borderId="39" xfId="60" applyNumberFormat="1" applyFont="1" applyBorder="1" applyAlignment="1">
      <alignment/>
    </xf>
    <xf numFmtId="10" fontId="32" fillId="0" borderId="47" xfId="60" applyNumberFormat="1" applyFont="1" applyBorder="1" applyAlignment="1">
      <alignment/>
    </xf>
    <xf numFmtId="10" fontId="34" fillId="0" borderId="48" xfId="60" applyNumberFormat="1" applyFont="1" applyBorder="1" applyAlignment="1">
      <alignment/>
    </xf>
    <xf numFmtId="164" fontId="32" fillId="0" borderId="36" xfId="42" applyNumberFormat="1" applyFont="1" applyBorder="1" applyAlignment="1">
      <alignment/>
    </xf>
    <xf numFmtId="164" fontId="32" fillId="0" borderId="75" xfId="42" applyNumberFormat="1" applyFont="1" applyFill="1" applyBorder="1" applyAlignment="1">
      <alignment horizontal="center"/>
    </xf>
    <xf numFmtId="15" fontId="34" fillId="33" borderId="49" xfId="0" applyNumberFormat="1" applyFont="1" applyFill="1" applyBorder="1" applyAlignment="1">
      <alignment horizontal="center" vertical="center" wrapText="1"/>
    </xf>
    <xf numFmtId="0" fontId="34" fillId="33" borderId="61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0" fontId="34" fillId="9" borderId="61" xfId="0" applyFont="1" applyFill="1" applyBorder="1" applyAlignment="1">
      <alignment horizontal="center" vertical="center" wrapText="1"/>
    </xf>
    <xf numFmtId="0" fontId="34" fillId="9" borderId="32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9" fontId="4" fillId="0" borderId="0" xfId="60" applyNumberFormat="1" applyFont="1" applyBorder="1" applyAlignment="1">
      <alignment/>
    </xf>
    <xf numFmtId="164" fontId="0" fillId="0" borderId="0" xfId="0" applyNumberFormat="1" applyBorder="1" applyAlignment="1">
      <alignment/>
    </xf>
    <xf numFmtId="9" fontId="7" fillId="0" borderId="0" xfId="60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54" fillId="0" borderId="0" xfId="0" applyFont="1" applyAlignment="1">
      <alignment horizontal="left"/>
    </xf>
    <xf numFmtId="165" fontId="0" fillId="0" borderId="0" xfId="44" applyNumberFormat="1" applyFont="1" applyBorder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203" fontId="0" fillId="0" borderId="0" xfId="0" applyNumberFormat="1" applyBorder="1" applyAlignment="1">
      <alignment/>
    </xf>
    <xf numFmtId="0" fontId="2" fillId="0" borderId="0" xfId="0" applyFont="1" applyAlignment="1">
      <alignment horizontal="right"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4" fontId="0" fillId="0" borderId="76" xfId="0" applyNumberForma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203" fontId="0" fillId="0" borderId="0" xfId="0" applyNumberFormat="1" applyAlignment="1">
      <alignment/>
    </xf>
    <xf numFmtId="165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10" xfId="42" applyNumberFormat="1" applyFont="1" applyBorder="1" applyAlignment="1">
      <alignment vertical="center"/>
    </xf>
    <xf numFmtId="164" fontId="7" fillId="0" borderId="11" xfId="42" applyNumberFormat="1" applyFont="1" applyBorder="1" applyAlignment="1">
      <alignment/>
    </xf>
    <xf numFmtId="164" fontId="32" fillId="0" borderId="28" xfId="0" applyNumberFormat="1" applyFont="1" applyBorder="1" applyAlignment="1">
      <alignment/>
    </xf>
    <xf numFmtId="0" fontId="5" fillId="0" borderId="0" xfId="53" applyBorder="1" applyAlignment="1" applyProtection="1">
      <alignment/>
      <protection/>
    </xf>
    <xf numFmtId="0" fontId="34" fillId="9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4" fontId="7" fillId="0" borderId="0" xfId="42" applyNumberFormat="1" applyFont="1" applyBorder="1" applyAlignment="1">
      <alignment/>
    </xf>
    <xf numFmtId="0" fontId="32" fillId="0" borderId="69" xfId="0" applyFont="1" applyFill="1" applyBorder="1" applyAlignment="1">
      <alignment/>
    </xf>
    <xf numFmtId="164" fontId="0" fillId="0" borderId="0" xfId="42" applyNumberFormat="1" applyFont="1" applyAlignment="1">
      <alignment/>
    </xf>
    <xf numFmtId="165" fontId="4" fillId="0" borderId="0" xfId="0" applyNumberFormat="1" applyFont="1" applyBorder="1" applyAlignment="1">
      <alignment/>
    </xf>
    <xf numFmtId="9" fontId="0" fillId="0" borderId="0" xfId="60" applyFont="1" applyAlignment="1">
      <alignment/>
    </xf>
    <xf numFmtId="164" fontId="0" fillId="0" borderId="10" xfId="42" applyNumberFormat="1" applyFont="1" applyBorder="1" applyAlignment="1">
      <alignment/>
    </xf>
    <xf numFmtId="10" fontId="0" fillId="0" borderId="11" xfId="60" applyNumberFormat="1" applyFont="1" applyBorder="1" applyAlignment="1">
      <alignment/>
    </xf>
    <xf numFmtId="10" fontId="4" fillId="0" borderId="11" xfId="60" applyNumberFormat="1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9" fontId="34" fillId="0" borderId="0" xfId="60" applyFont="1" applyFill="1" applyBorder="1" applyAlignment="1">
      <alignment/>
    </xf>
    <xf numFmtId="0" fontId="8" fillId="0" borderId="0" xfId="0" applyFont="1" applyAlignment="1">
      <alignment horizontal="center"/>
    </xf>
    <xf numFmtId="164" fontId="53" fillId="0" borderId="0" xfId="42" applyNumberFormat="1" applyFont="1" applyBorder="1" applyAlignment="1">
      <alignment/>
    </xf>
    <xf numFmtId="187" fontId="0" fillId="0" borderId="0" xfId="60" applyNumberFormat="1" applyFont="1" applyAlignment="1">
      <alignment/>
    </xf>
    <xf numFmtId="164" fontId="4" fillId="0" borderId="0" xfId="42" applyNumberFormat="1" applyFont="1" applyBorder="1" applyAlignment="1">
      <alignment/>
    </xf>
    <xf numFmtId="9" fontId="0" fillId="0" borderId="0" xfId="60" applyFont="1" applyBorder="1" applyAlignment="1">
      <alignment/>
    </xf>
    <xf numFmtId="10" fontId="0" fillId="0" borderId="0" xfId="60" applyNumberFormat="1" applyFont="1" applyBorder="1" applyAlignment="1">
      <alignment/>
    </xf>
    <xf numFmtId="10" fontId="4" fillId="0" borderId="0" xfId="6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 wrapText="1"/>
    </xf>
    <xf numFmtId="164" fontId="0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7" fontId="0" fillId="0" borderId="0" xfId="42" applyNumberFormat="1" applyFont="1" applyBorder="1" applyAlignment="1">
      <alignment/>
    </xf>
    <xf numFmtId="187" fontId="0" fillId="0" borderId="0" xfId="60" applyNumberFormat="1" applyFont="1" applyBorder="1" applyAlignment="1">
      <alignment/>
    </xf>
    <xf numFmtId="0" fontId="34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4" fillId="0" borderId="31" xfId="0" applyFont="1" applyBorder="1" applyAlignment="1">
      <alignment/>
    </xf>
    <xf numFmtId="0" fontId="32" fillId="0" borderId="68" xfId="0" applyFont="1" applyFill="1" applyBorder="1" applyAlignment="1">
      <alignment horizontal="left" vertical="top" wrapText="1"/>
    </xf>
    <xf numFmtId="164" fontId="0" fillId="0" borderId="19" xfId="42" applyNumberFormat="1" applyFont="1" applyBorder="1" applyAlignment="1">
      <alignment/>
    </xf>
    <xf numFmtId="164" fontId="0" fillId="0" borderId="21" xfId="42" applyNumberFormat="1" applyFont="1" applyBorder="1" applyAlignment="1">
      <alignment/>
    </xf>
    <xf numFmtId="164" fontId="0" fillId="0" borderId="52" xfId="42" applyNumberFormat="1" applyFont="1" applyBorder="1" applyAlignment="1">
      <alignment/>
    </xf>
    <xf numFmtId="164" fontId="7" fillId="0" borderId="23" xfId="42" applyNumberFormat="1" applyFont="1" applyBorder="1" applyAlignment="1">
      <alignment/>
    </xf>
    <xf numFmtId="203" fontId="0" fillId="0" borderId="0" xfId="44" applyNumberFormat="1" applyFont="1" applyAlignment="1">
      <alignment/>
    </xf>
    <xf numFmtId="203" fontId="32" fillId="0" borderId="0" xfId="44" applyNumberFormat="1" applyFont="1" applyFill="1" applyAlignment="1">
      <alignment/>
    </xf>
    <xf numFmtId="0" fontId="34" fillId="0" borderId="0" xfId="0" applyFont="1" applyFill="1" applyAlignment="1">
      <alignment horizontal="center" wrapText="1"/>
    </xf>
    <xf numFmtId="0" fontId="32" fillId="0" borderId="62" xfId="0" applyFont="1" applyBorder="1" applyAlignment="1">
      <alignment/>
    </xf>
    <xf numFmtId="203" fontId="32" fillId="0" borderId="62" xfId="44" applyNumberFormat="1" applyFont="1" applyBorder="1" applyAlignment="1">
      <alignment/>
    </xf>
    <xf numFmtId="49" fontId="34" fillId="0" borderId="11" xfId="44" applyNumberFormat="1" applyFont="1" applyFill="1" applyBorder="1" applyAlignment="1">
      <alignment/>
    </xf>
    <xf numFmtId="203" fontId="34" fillId="0" borderId="11" xfId="44" applyNumberFormat="1" applyFont="1" applyFill="1" applyBorder="1" applyAlignment="1">
      <alignment/>
    </xf>
    <xf numFmtId="203" fontId="32" fillId="0" borderId="0" xfId="0" applyNumberFormat="1" applyFont="1" applyAlignment="1">
      <alignment/>
    </xf>
    <xf numFmtId="203" fontId="7" fillId="0" borderId="11" xfId="0" applyNumberFormat="1" applyFont="1" applyBorder="1" applyAlignment="1">
      <alignment/>
    </xf>
    <xf numFmtId="203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203" fontId="0" fillId="0" borderId="11" xfId="0" applyNumberFormat="1" applyBorder="1" applyAlignment="1">
      <alignment/>
    </xf>
    <xf numFmtId="203" fontId="0" fillId="0" borderId="10" xfId="0" applyNumberFormat="1" applyBorder="1" applyAlignment="1">
      <alignment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/>
    </xf>
    <xf numFmtId="203" fontId="7" fillId="0" borderId="11" xfId="44" applyNumberFormat="1" applyFont="1" applyBorder="1" applyAlignment="1">
      <alignment/>
    </xf>
    <xf numFmtId="203" fontId="7" fillId="0" borderId="0" xfId="44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4" fillId="0" borderId="62" xfId="42" applyNumberFormat="1" applyFont="1" applyBorder="1" applyAlignment="1">
      <alignment/>
    </xf>
    <xf numFmtId="9" fontId="7" fillId="0" borderId="0" xfId="60" applyFont="1" applyBorder="1" applyAlignment="1">
      <alignment/>
    </xf>
    <xf numFmtId="203" fontId="4" fillId="0" borderId="76" xfId="0" applyNumberFormat="1" applyFont="1" applyBorder="1" applyAlignment="1">
      <alignment/>
    </xf>
    <xf numFmtId="203" fontId="4" fillId="0" borderId="10" xfId="0" applyNumberFormat="1" applyFont="1" applyBorder="1" applyAlignment="1">
      <alignment/>
    </xf>
    <xf numFmtId="0" fontId="7" fillId="0" borderId="77" xfId="0" applyFont="1" applyBorder="1" applyAlignment="1">
      <alignment horizontal="center"/>
    </xf>
    <xf numFmtId="203" fontId="0" fillId="0" borderId="78" xfId="44" applyNumberFormat="1" applyFont="1" applyBorder="1" applyAlignment="1">
      <alignment/>
    </xf>
    <xf numFmtId="203" fontId="0" fillId="0" borderId="79" xfId="44" applyNumberFormat="1" applyFont="1" applyBorder="1" applyAlignment="1">
      <alignment/>
    </xf>
    <xf numFmtId="9" fontId="7" fillId="0" borderId="48" xfId="60" applyFont="1" applyBorder="1" applyAlignment="1">
      <alignment/>
    </xf>
    <xf numFmtId="203" fontId="7" fillId="0" borderId="77" xfId="44" applyNumberFormat="1" applyFont="1" applyBorder="1" applyAlignment="1">
      <alignment/>
    </xf>
    <xf numFmtId="203" fontId="0" fillId="0" borderId="80" xfId="44" applyNumberFormat="1" applyFont="1" applyBorder="1" applyAlignment="1">
      <alignment/>
    </xf>
    <xf numFmtId="203" fontId="34" fillId="0" borderId="50" xfId="0" applyNumberFormat="1" applyFont="1" applyBorder="1" applyAlignment="1">
      <alignment/>
    </xf>
    <xf numFmtId="0" fontId="34" fillId="34" borderId="23" xfId="0" applyFont="1" applyFill="1" applyBorder="1" applyAlignment="1">
      <alignment/>
    </xf>
    <xf numFmtId="0" fontId="34" fillId="34" borderId="50" xfId="0" applyFont="1" applyFill="1" applyBorder="1" applyAlignment="1">
      <alignment horizontal="center" wrapText="1"/>
    </xf>
    <xf numFmtId="203" fontId="32" fillId="0" borderId="51" xfId="44" applyNumberFormat="1" applyFont="1" applyBorder="1" applyAlignment="1">
      <alignment/>
    </xf>
    <xf numFmtId="0" fontId="32" fillId="0" borderId="19" xfId="0" applyFont="1" applyBorder="1" applyAlignment="1">
      <alignment/>
    </xf>
    <xf numFmtId="203" fontId="32" fillId="0" borderId="33" xfId="44" applyNumberFormat="1" applyFont="1" applyBorder="1" applyAlignment="1">
      <alignment/>
    </xf>
    <xf numFmtId="0" fontId="32" fillId="0" borderId="21" xfId="0" applyFont="1" applyBorder="1" applyAlignment="1">
      <alignment/>
    </xf>
    <xf numFmtId="203" fontId="32" fillId="0" borderId="29" xfId="44" applyNumberFormat="1" applyFont="1" applyBorder="1" applyAlignment="1">
      <alignment/>
    </xf>
    <xf numFmtId="0" fontId="32" fillId="0" borderId="52" xfId="0" applyFont="1" applyBorder="1" applyAlignment="1">
      <alignment/>
    </xf>
    <xf numFmtId="0" fontId="34" fillId="0" borderId="23" xfId="0" applyFont="1" applyBorder="1" applyAlignment="1">
      <alignment/>
    </xf>
    <xf numFmtId="49" fontId="4" fillId="0" borderId="0" xfId="57" applyNumberFormat="1" applyFont="1">
      <alignment/>
      <protection/>
    </xf>
    <xf numFmtId="165" fontId="34" fillId="34" borderId="0" xfId="44" applyNumberFormat="1" applyFont="1" applyFill="1" applyAlignment="1">
      <alignment/>
    </xf>
    <xf numFmtId="10" fontId="0" fillId="0" borderId="81" xfId="60" applyNumberFormat="1" applyFont="1" applyBorder="1" applyAlignment="1">
      <alignment/>
    </xf>
    <xf numFmtId="10" fontId="0" fillId="0" borderId="20" xfId="60" applyNumberFormat="1" applyFont="1" applyBorder="1" applyAlignment="1">
      <alignment/>
    </xf>
    <xf numFmtId="10" fontId="0" fillId="0" borderId="22" xfId="60" applyNumberFormat="1" applyFont="1" applyBorder="1" applyAlignment="1">
      <alignment/>
    </xf>
    <xf numFmtId="10" fontId="0" fillId="0" borderId="0" xfId="60" applyNumberFormat="1" applyFont="1" applyAlignment="1">
      <alignment/>
    </xf>
    <xf numFmtId="10" fontId="4" fillId="0" borderId="0" xfId="60" applyNumberFormat="1" applyFont="1" applyAlignment="1">
      <alignment/>
    </xf>
    <xf numFmtId="10" fontId="4" fillId="0" borderId="62" xfId="60" applyNumberFormat="1" applyFont="1" applyBorder="1" applyAlignment="1">
      <alignment/>
    </xf>
    <xf numFmtId="10" fontId="0" fillId="0" borderId="0" xfId="0" applyNumberFormat="1" applyAlignment="1">
      <alignment/>
    </xf>
    <xf numFmtId="44" fontId="32" fillId="0" borderId="0" xfId="0" applyNumberFormat="1" applyFont="1" applyAlignment="1">
      <alignment/>
    </xf>
    <xf numFmtId="165" fontId="4" fillId="0" borderId="0" xfId="44" applyNumberFormat="1" applyFont="1" applyBorder="1" applyAlignment="1">
      <alignment/>
    </xf>
    <xf numFmtId="203" fontId="4" fillId="0" borderId="0" xfId="44" applyNumberFormat="1" applyFont="1" applyBorder="1" applyAlignment="1">
      <alignment/>
    </xf>
    <xf numFmtId="164" fontId="32" fillId="0" borderId="54" xfId="42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vertical="top" wrapText="1"/>
    </xf>
    <xf numFmtId="44" fontId="0" fillId="0" borderId="0" xfId="0" applyNumberFormat="1" applyAlignment="1">
      <alignment/>
    </xf>
    <xf numFmtId="164" fontId="4" fillId="0" borderId="0" xfId="42" applyNumberFormat="1" applyFont="1" applyAlignment="1">
      <alignment/>
    </xf>
    <xf numFmtId="10" fontId="0" fillId="0" borderId="62" xfId="0" applyNumberFormat="1" applyBorder="1" applyAlignment="1">
      <alignment/>
    </xf>
    <xf numFmtId="44" fontId="0" fillId="0" borderId="62" xfId="0" applyNumberFormat="1" applyBorder="1" applyAlignment="1">
      <alignment/>
    </xf>
    <xf numFmtId="164" fontId="7" fillId="0" borderId="0" xfId="0" applyNumberFormat="1" applyFont="1" applyAlignment="1">
      <alignment/>
    </xf>
    <xf numFmtId="203" fontId="7" fillId="0" borderId="0" xfId="44" applyNumberFormat="1" applyFont="1" applyAlignment="1">
      <alignment/>
    </xf>
    <xf numFmtId="9" fontId="7" fillId="0" borderId="0" xfId="60" applyFont="1" applyAlignment="1">
      <alignment/>
    </xf>
    <xf numFmtId="0" fontId="34" fillId="10" borderId="62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32" fillId="0" borderId="76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82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34" fillId="11" borderId="0" xfId="0" applyFont="1" applyFill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9" borderId="0" xfId="0" applyFont="1" applyFill="1" applyBorder="1" applyAlignment="1">
      <alignment horizontal="left"/>
    </xf>
    <xf numFmtId="0" fontId="34" fillId="10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120" zoomScaleNormal="120" zoomScalePageLayoutView="0" workbookViewId="0" topLeftCell="A1">
      <pane xSplit="1" topLeftCell="B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1" width="38.7109375" style="5" customWidth="1"/>
    <col min="2" max="2" width="15.7109375" style="5" bestFit="1" customWidth="1"/>
    <col min="3" max="3" width="15.7109375" style="5" customWidth="1"/>
    <col min="4" max="4" width="13.421875" style="5" customWidth="1"/>
    <col min="5" max="5" width="15.7109375" style="5" customWidth="1"/>
    <col min="6" max="6" width="15.8515625" style="5" customWidth="1"/>
    <col min="7" max="7" width="16.8515625" style="5" bestFit="1" customWidth="1"/>
    <col min="8" max="8" width="13.28125" style="5" customWidth="1"/>
    <col min="9" max="9" width="21.7109375" style="5" customWidth="1"/>
    <col min="10" max="10" width="18.00390625" style="5" customWidth="1"/>
    <col min="11" max="11" width="24.8515625" style="5" customWidth="1"/>
    <col min="12" max="12" width="25.57421875" style="5" customWidth="1"/>
    <col min="13" max="13" width="17.28125" style="5" customWidth="1"/>
    <col min="14" max="14" width="3.7109375" style="5" customWidth="1"/>
    <col min="15" max="15" width="42.140625" style="5" bestFit="1" customWidth="1"/>
    <col min="16" max="16" width="16.57421875" style="5" customWidth="1"/>
    <col min="17" max="17" width="3.7109375" style="37" customWidth="1"/>
    <col min="18" max="18" width="41.00390625" style="5" customWidth="1"/>
    <col min="19" max="19" width="17.140625" style="5" customWidth="1"/>
    <col min="20" max="16384" width="9.140625" style="5" customWidth="1"/>
  </cols>
  <sheetData>
    <row r="1" ht="15.75">
      <c r="A1" s="266" t="s">
        <v>12</v>
      </c>
    </row>
    <row r="2" spans="1:3" ht="15.75">
      <c r="A2" s="6" t="s">
        <v>9</v>
      </c>
      <c r="B2" s="7">
        <f ca="1">TODAY()</f>
        <v>42627</v>
      </c>
      <c r="C2" s="7"/>
    </row>
    <row r="3" ht="15.75">
      <c r="A3" s="206" t="s">
        <v>5</v>
      </c>
    </row>
    <row r="4" spans="1:19" ht="15.75">
      <c r="A4" s="197"/>
      <c r="B4" s="373" t="s">
        <v>19</v>
      </c>
      <c r="C4" s="373"/>
      <c r="D4" s="24"/>
      <c r="E4" s="149" t="s">
        <v>30</v>
      </c>
      <c r="F4" s="149"/>
      <c r="G4" s="16"/>
      <c r="H4" s="363" t="s">
        <v>31</v>
      </c>
      <c r="I4" s="363"/>
      <c r="J4" s="19"/>
      <c r="K4" s="189" t="s">
        <v>32</v>
      </c>
      <c r="L4" s="189"/>
      <c r="M4" s="20"/>
      <c r="O4" s="295" t="s">
        <v>153</v>
      </c>
      <c r="P4" s="296"/>
      <c r="R4" s="295" t="s">
        <v>156</v>
      </c>
      <c r="S4" s="296"/>
    </row>
    <row r="5" spans="1:19" ht="15.75">
      <c r="A5" s="10"/>
      <c r="B5" s="364" t="s">
        <v>0</v>
      </c>
      <c r="C5" s="364"/>
      <c r="D5" s="9">
        <v>0</v>
      </c>
      <c r="E5" s="364" t="s">
        <v>0</v>
      </c>
      <c r="F5" s="364"/>
      <c r="G5" s="9">
        <f>3000000</f>
        <v>3000000</v>
      </c>
      <c r="H5" s="364" t="s">
        <v>0</v>
      </c>
      <c r="I5" s="364"/>
      <c r="J5" s="9">
        <f>10000000</f>
        <v>10000000</v>
      </c>
      <c r="K5" s="364" t="s">
        <v>0</v>
      </c>
      <c r="L5" s="364"/>
      <c r="M5" s="9">
        <v>15000000</v>
      </c>
      <c r="O5" s="307" t="s">
        <v>150</v>
      </c>
      <c r="P5" s="308">
        <v>50000000</v>
      </c>
      <c r="Q5" s="305"/>
      <c r="R5" s="307" t="s">
        <v>151</v>
      </c>
      <c r="S5" s="308">
        <v>100000000</v>
      </c>
    </row>
    <row r="6" spans="1:19" ht="15.75">
      <c r="A6" s="10"/>
      <c r="B6" s="372" t="s">
        <v>25</v>
      </c>
      <c r="C6" s="372"/>
      <c r="D6" s="25">
        <f>1000000*0.01</f>
        <v>10000</v>
      </c>
      <c r="E6" s="365" t="s">
        <v>29</v>
      </c>
      <c r="F6" s="365"/>
      <c r="G6" s="11">
        <v>1000000</v>
      </c>
      <c r="H6" s="365" t="s">
        <v>28</v>
      </c>
      <c r="I6" s="365"/>
      <c r="J6" s="11">
        <v>8000000</v>
      </c>
      <c r="K6" s="365" t="s">
        <v>27</v>
      </c>
      <c r="L6" s="365"/>
      <c r="M6" s="11">
        <v>15000000</v>
      </c>
      <c r="O6" s="5" t="s">
        <v>157</v>
      </c>
      <c r="P6" s="311">
        <f>M6</f>
        <v>15000000</v>
      </c>
      <c r="Q6" s="305"/>
      <c r="R6" s="5" t="s">
        <v>157</v>
      </c>
      <c r="S6" s="311">
        <f>M6</f>
        <v>15000000</v>
      </c>
    </row>
    <row r="7" spans="1:13" ht="15.75">
      <c r="A7" s="10"/>
      <c r="B7" s="372" t="s">
        <v>26</v>
      </c>
      <c r="C7" s="372"/>
      <c r="D7" s="25">
        <f>1000000*0.01</f>
        <v>10000</v>
      </c>
      <c r="E7" s="366"/>
      <c r="F7" s="366"/>
      <c r="G7" s="11"/>
      <c r="H7" s="366" t="s">
        <v>201</v>
      </c>
      <c r="I7" s="366"/>
      <c r="J7" s="11">
        <v>2000000</v>
      </c>
      <c r="K7" s="366"/>
      <c r="L7" s="366"/>
      <c r="M7" s="11"/>
    </row>
    <row r="8" spans="1:19" ht="16.5" thickBot="1">
      <c r="A8" s="8"/>
      <c r="B8" s="367" t="s">
        <v>6</v>
      </c>
      <c r="C8" s="367"/>
      <c r="D8" s="12">
        <f>SUM(D6:D7)</f>
        <v>20000</v>
      </c>
      <c r="E8" s="367" t="s">
        <v>6</v>
      </c>
      <c r="F8" s="367"/>
      <c r="G8" s="12">
        <f>SUM(G6:G7)</f>
        <v>1000000</v>
      </c>
      <c r="H8" s="367" t="s">
        <v>6</v>
      </c>
      <c r="I8" s="367"/>
      <c r="J8" s="12">
        <f>SUM(J6:J7)</f>
        <v>10000000</v>
      </c>
      <c r="K8" s="367" t="s">
        <v>6</v>
      </c>
      <c r="L8" s="367"/>
      <c r="M8" s="12">
        <f>SUM(M6:M7)</f>
        <v>15000000</v>
      </c>
      <c r="O8" s="309" t="s">
        <v>158</v>
      </c>
      <c r="P8" s="310">
        <f>P5-P6</f>
        <v>35000000</v>
      </c>
      <c r="R8" s="309" t="s">
        <v>158</v>
      </c>
      <c r="S8" s="310">
        <f>S5-S6</f>
        <v>85000000</v>
      </c>
    </row>
    <row r="9" spans="1:13" ht="16.5" thickTop="1">
      <c r="A9" s="8"/>
      <c r="B9" s="374" t="s">
        <v>1</v>
      </c>
      <c r="C9" s="374"/>
      <c r="D9" s="13">
        <f>SUM(D5,D8)</f>
        <v>20000</v>
      </c>
      <c r="E9" s="368" t="s">
        <v>1</v>
      </c>
      <c r="F9" s="368"/>
      <c r="G9" s="13">
        <f>SUM(G5,G8)</f>
        <v>4000000</v>
      </c>
      <c r="H9" s="368" t="s">
        <v>1</v>
      </c>
      <c r="I9" s="368"/>
      <c r="J9" s="13">
        <f>SUM(J5,J8)</f>
        <v>20000000</v>
      </c>
      <c r="K9" s="368" t="s">
        <v>1</v>
      </c>
      <c r="L9" s="368"/>
      <c r="M9" s="13">
        <f>SUM(M5,M8)</f>
        <v>30000000</v>
      </c>
    </row>
    <row r="10" spans="1:19" ht="15.75">
      <c r="A10" s="10"/>
      <c r="B10" s="370" t="s">
        <v>2</v>
      </c>
      <c r="C10" s="370"/>
      <c r="D10" s="14">
        <v>0</v>
      </c>
      <c r="E10" s="370" t="s">
        <v>67</v>
      </c>
      <c r="F10" s="370"/>
      <c r="G10" s="14">
        <v>0.15</v>
      </c>
      <c r="H10" s="370" t="s">
        <v>2</v>
      </c>
      <c r="I10" s="370"/>
      <c r="J10" s="14">
        <v>0.2</v>
      </c>
      <c r="K10" s="370" t="s">
        <v>2</v>
      </c>
      <c r="L10" s="370"/>
      <c r="M10" s="14">
        <v>0.15</v>
      </c>
      <c r="O10" s="295" t="s">
        <v>196</v>
      </c>
      <c r="P10" s="343">
        <f>'Exit Transaction 1'!D5/'Exit Transaction 1'!B5</f>
        <v>1.2728914730683718</v>
      </c>
      <c r="R10" s="295" t="s">
        <v>196</v>
      </c>
      <c r="S10" s="343">
        <f>'Exit Transaction 2'!D5/'Exit Transaction 2'!B5</f>
        <v>4.267456650257131</v>
      </c>
    </row>
    <row r="11" spans="1:19" ht="15.75">
      <c r="A11" s="10"/>
      <c r="B11" s="372"/>
      <c r="C11" s="372"/>
      <c r="E11" s="42"/>
      <c r="F11" s="42"/>
      <c r="G11" s="14"/>
      <c r="H11" s="372"/>
      <c r="I11" s="372"/>
      <c r="J11" s="351"/>
      <c r="K11" s="372"/>
      <c r="L11" s="372"/>
      <c r="O11" s="295" t="s">
        <v>197</v>
      </c>
      <c r="P11" s="343">
        <f>'Exit Transaction 1'!D7/'Exit Transaction 1'!B7</f>
        <v>1.2</v>
      </c>
      <c r="R11" s="295" t="s">
        <v>197</v>
      </c>
      <c r="S11" s="343">
        <f>'Exit Transaction 2'!D7/'Exit Transaction 2'!B7</f>
        <v>4.267456650257132</v>
      </c>
    </row>
    <row r="12" spans="1:19" ht="15.75">
      <c r="A12" s="8"/>
      <c r="B12" s="373" t="s">
        <v>17</v>
      </c>
      <c r="C12" s="373"/>
      <c r="D12" s="93">
        <v>0.01</v>
      </c>
      <c r="E12" s="371" t="s">
        <v>10</v>
      </c>
      <c r="F12" s="371"/>
      <c r="G12" s="17">
        <f>G6/'Series Seed Preferred'!D7</f>
        <v>1.2</v>
      </c>
      <c r="H12" s="376" t="s">
        <v>11</v>
      </c>
      <c r="I12" s="376"/>
      <c r="J12" s="184">
        <f>J8/'Series A Preferred'!D42</f>
        <v>2.0454545454545454</v>
      </c>
      <c r="K12" s="375" t="s">
        <v>4</v>
      </c>
      <c r="L12" s="375"/>
      <c r="M12" s="15">
        <f>M6/'Series B Preferred'!J11</f>
        <v>1.3423295454545454</v>
      </c>
      <c r="O12" s="295" t="s">
        <v>198</v>
      </c>
      <c r="P12" s="343">
        <f>'Exit Transaction 1'!D8/'Exit Transaction 1'!B8</f>
        <v>1.642458534707985</v>
      </c>
      <c r="R12" s="295" t="s">
        <v>198</v>
      </c>
      <c r="S12" s="343">
        <f>'Exit Transaction 2'!D8/'Exit Transaction 2'!B8</f>
        <v>4.267456650257132</v>
      </c>
    </row>
    <row r="13" spans="1:19" ht="15.75">
      <c r="A13" s="8"/>
      <c r="B13" s="373" t="s">
        <v>18</v>
      </c>
      <c r="C13" s="373"/>
      <c r="D13" s="27">
        <f>D8/D9</f>
        <v>1</v>
      </c>
      <c r="E13" s="371" t="s">
        <v>13</v>
      </c>
      <c r="F13" s="371"/>
      <c r="G13" s="21">
        <f>G8/G9</f>
        <v>0.25</v>
      </c>
      <c r="H13" s="376" t="s">
        <v>24</v>
      </c>
      <c r="I13" s="376"/>
      <c r="J13" s="23">
        <f>J8/J9</f>
        <v>0.5</v>
      </c>
      <c r="K13" s="254" t="s">
        <v>147</v>
      </c>
      <c r="L13" s="254"/>
      <c r="M13" s="15">
        <f>M6/(SUM('Series B Preferred'!J11:J12))</f>
        <v>1.1638518137064904</v>
      </c>
      <c r="O13" s="295" t="s">
        <v>199</v>
      </c>
      <c r="P13" s="343">
        <f>'Exit Transaction 1'!D9/'Exit Transaction 1'!B9</f>
        <v>2.4367432867748624</v>
      </c>
      <c r="R13" s="295" t="s">
        <v>199</v>
      </c>
      <c r="S13" s="343">
        <f>'Exit Transaction 2'!D9/'Exit Transaction 2'!B9</f>
        <v>3.4915554411194716</v>
      </c>
    </row>
    <row r="14" spans="1:19" ht="15.75">
      <c r="A14" s="267"/>
      <c r="B14" s="369"/>
      <c r="C14" s="369"/>
      <c r="D14" s="369"/>
      <c r="E14" s="268"/>
      <c r="F14" s="268"/>
      <c r="G14" s="268"/>
      <c r="H14" s="268"/>
      <c r="K14" s="375" t="s">
        <v>14</v>
      </c>
      <c r="L14" s="375"/>
      <c r="M14" s="22">
        <f>M8/M9</f>
        <v>0.5</v>
      </c>
      <c r="O14" s="295" t="s">
        <v>200</v>
      </c>
      <c r="P14" s="343">
        <f>'Exit Transaction 1'!D12/'Exit Transaction 1'!B12</f>
        <v>1.2728914730683718</v>
      </c>
      <c r="R14" s="295" t="s">
        <v>200</v>
      </c>
      <c r="S14" s="343">
        <f>'Exit Transaction 2'!D12/'Exit Transaction 2'!B12</f>
        <v>4.267456650257132</v>
      </c>
    </row>
    <row r="15" spans="1:13" ht="16.5" thickBot="1">
      <c r="A15" s="59"/>
      <c r="B15" s="256"/>
      <c r="C15" s="256"/>
      <c r="D15" s="256"/>
      <c r="E15" s="60"/>
      <c r="F15" s="60"/>
      <c r="G15" s="60"/>
      <c r="H15" s="60"/>
      <c r="K15" s="255"/>
      <c r="L15" s="255"/>
      <c r="M15" s="269"/>
    </row>
    <row r="16" spans="1:19" ht="48" thickBot="1">
      <c r="A16" s="58" t="s">
        <v>22</v>
      </c>
      <c r="B16" s="144" t="s">
        <v>37</v>
      </c>
      <c r="C16" s="202" t="s">
        <v>23</v>
      </c>
      <c r="D16" s="145" t="s">
        <v>41</v>
      </c>
      <c r="E16" s="146" t="s">
        <v>38</v>
      </c>
      <c r="F16" s="147" t="s">
        <v>23</v>
      </c>
      <c r="G16" s="148" t="s">
        <v>41</v>
      </c>
      <c r="H16" s="150" t="s">
        <v>39</v>
      </c>
      <c r="I16" s="151" t="s">
        <v>23</v>
      </c>
      <c r="J16" s="152" t="s">
        <v>41</v>
      </c>
      <c r="K16" s="153" t="s">
        <v>40</v>
      </c>
      <c r="L16" s="194" t="s">
        <v>23</v>
      </c>
      <c r="M16" s="154" t="s">
        <v>41</v>
      </c>
      <c r="N16" s="198"/>
      <c r="O16" s="333" t="s">
        <v>22</v>
      </c>
      <c r="P16" s="334" t="s">
        <v>154</v>
      </c>
      <c r="Q16" s="306"/>
      <c r="R16" s="333" t="s">
        <v>22</v>
      </c>
      <c r="S16" s="334" t="s">
        <v>155</v>
      </c>
    </row>
    <row r="17" spans="1:19" ht="15.75">
      <c r="A17" s="39" t="s">
        <v>42</v>
      </c>
      <c r="B17" s="109">
        <f>Formation!B5</f>
        <v>1000000</v>
      </c>
      <c r="C17" s="203">
        <f>B17</f>
        <v>1000000</v>
      </c>
      <c r="D17" s="67">
        <f>B17/$B$26</f>
        <v>0.5</v>
      </c>
      <c r="E17" s="68">
        <v>0</v>
      </c>
      <c r="F17" s="138">
        <f>SUM(B17,E17)</f>
        <v>1000000</v>
      </c>
      <c r="G17" s="70">
        <f>F17/$F$26</f>
        <v>0.3</v>
      </c>
      <c r="H17" s="71">
        <v>0</v>
      </c>
      <c r="I17" s="138">
        <f>SUM(F17,H17)</f>
        <v>1000000</v>
      </c>
      <c r="J17" s="70">
        <f>I17/$I$26</f>
        <v>0.10227272727272727</v>
      </c>
      <c r="K17" s="71">
        <v>0</v>
      </c>
      <c r="L17" s="138">
        <f>SUM(I17,K17)</f>
        <v>1000000</v>
      </c>
      <c r="M17" s="70">
        <f>L17/$L$26</f>
        <v>0.03879506045688302</v>
      </c>
      <c r="N17" s="199"/>
      <c r="O17" s="340" t="str">
        <f>'Exit Transaction 1'!A5</f>
        <v>Founder 1</v>
      </c>
      <c r="P17" s="335">
        <f>'Exit Transaction 1'!D5</f>
        <v>1272891.4730683719</v>
      </c>
      <c r="R17" s="340" t="str">
        <f>'Exit Transaction 2'!A5</f>
        <v>Founder 1</v>
      </c>
      <c r="S17" s="335">
        <f>'Exit Transaction 2'!D5</f>
        <v>4267456.650257131</v>
      </c>
    </row>
    <row r="18" spans="1:19" ht="15.75">
      <c r="A18" s="40" t="s">
        <v>43</v>
      </c>
      <c r="B18" s="44">
        <f>Formation!B6</f>
        <v>1000000</v>
      </c>
      <c r="C18" s="204">
        <f>B18</f>
        <v>1000000</v>
      </c>
      <c r="D18" s="45">
        <f>B18/$B$26</f>
        <v>0.5</v>
      </c>
      <c r="E18" s="69">
        <v>0</v>
      </c>
      <c r="F18" s="140">
        <f>SUM(B18,E18)</f>
        <v>1000000</v>
      </c>
      <c r="G18" s="45">
        <f>F18/$F$26</f>
        <v>0.3</v>
      </c>
      <c r="H18" s="73">
        <v>0</v>
      </c>
      <c r="I18" s="140">
        <f>SUM(F18,H18)</f>
        <v>1000000</v>
      </c>
      <c r="J18" s="72">
        <f>I18/$I$26</f>
        <v>0.10227272727272727</v>
      </c>
      <c r="K18" s="73">
        <v>0</v>
      </c>
      <c r="L18" s="140">
        <f>SUM(I18,K18)</f>
        <v>1000000</v>
      </c>
      <c r="M18" s="66">
        <f>L18/$L$26</f>
        <v>0.03879506045688302</v>
      </c>
      <c r="N18" s="199"/>
      <c r="O18" s="336" t="str">
        <f>'Exit Transaction 1'!A6</f>
        <v>Founder 2</v>
      </c>
      <c r="P18" s="337">
        <f>'Exit Transaction 1'!D6</f>
        <v>1272891.4730683719</v>
      </c>
      <c r="R18" s="336" t="str">
        <f>'Exit Transaction 2'!A6</f>
        <v>Founder 2</v>
      </c>
      <c r="S18" s="337">
        <f>'Exit Transaction 2'!D6</f>
        <v>4267456.650257131</v>
      </c>
    </row>
    <row r="19" spans="1:19" ht="15.75">
      <c r="A19" s="41" t="s">
        <v>61</v>
      </c>
      <c r="B19" s="46">
        <v>0</v>
      </c>
      <c r="C19" s="204">
        <f>B19</f>
        <v>0</v>
      </c>
      <c r="D19" s="45">
        <f>B19/$B$26</f>
        <v>0</v>
      </c>
      <c r="E19" s="74">
        <f>'Series Seed Preferred'!E7</f>
        <v>833333.3333333334</v>
      </c>
      <c r="F19" s="140">
        <f>SUM(B19,E19)</f>
        <v>833333.3333333334</v>
      </c>
      <c r="G19" s="45">
        <f>F19/$F$26</f>
        <v>0.25</v>
      </c>
      <c r="H19" s="69">
        <v>0</v>
      </c>
      <c r="I19" s="140">
        <f>SUM(F19,H19)</f>
        <v>833333.3333333334</v>
      </c>
      <c r="J19" s="72">
        <f>I19/$I$26</f>
        <v>0.08522727272727273</v>
      </c>
      <c r="K19" s="69">
        <v>0</v>
      </c>
      <c r="L19" s="140">
        <f>SUM(I19,K19)</f>
        <v>833333.3333333334</v>
      </c>
      <c r="M19" s="66">
        <f>L19/$L$26</f>
        <v>0.03232921704740251</v>
      </c>
      <c r="N19" s="199"/>
      <c r="O19" s="336" t="str">
        <f>'Exit Transaction 1'!A7</f>
        <v>Series Seed Preferred Investors</v>
      </c>
      <c r="P19" s="337">
        <f>'Exit Transaction 1'!D7</f>
        <v>1000000</v>
      </c>
      <c r="R19" s="336" t="str">
        <f>'Exit Transaction 2'!A7</f>
        <v>Series Seed Preferred Investors</v>
      </c>
      <c r="S19" s="337">
        <f>'Exit Transaction 2'!D7</f>
        <v>3556213.875214277</v>
      </c>
    </row>
    <row r="20" spans="1:19" ht="15.75">
      <c r="A20" s="38" t="s">
        <v>62</v>
      </c>
      <c r="B20" s="46">
        <v>0</v>
      </c>
      <c r="C20" s="204">
        <f>B20</f>
        <v>0</v>
      </c>
      <c r="D20" s="45">
        <f>B20/$B$26</f>
        <v>0</v>
      </c>
      <c r="E20" s="69">
        <v>0</v>
      </c>
      <c r="F20" s="140">
        <f>SUM(B20,E20)</f>
        <v>0</v>
      </c>
      <c r="G20" s="45">
        <f>F20/$F$26</f>
        <v>0</v>
      </c>
      <c r="H20" s="74">
        <f>'Series A Preferred'!G14</f>
        <v>4888888.888888889</v>
      </c>
      <c r="I20" s="140">
        <f>SUM(F20,H20)</f>
        <v>4888888.888888889</v>
      </c>
      <c r="J20" s="72">
        <f>I20/$I$26</f>
        <v>0.5</v>
      </c>
      <c r="K20" s="69">
        <f>'Series B Preferred'!J9</f>
        <v>1199544.8759110933</v>
      </c>
      <c r="L20" s="140">
        <f>SUM(I20,K20)</f>
        <v>6088433.764799982</v>
      </c>
      <c r="M20" s="66">
        <f>L20/$L$26</f>
        <v>0.23620115599314317</v>
      </c>
      <c r="N20" s="199"/>
      <c r="O20" s="336" t="str">
        <f>'Exit Transaction 1'!A8</f>
        <v>Series A Preferred Investors</v>
      </c>
      <c r="P20" s="337">
        <f>'Exit Transaction 1'!D8</f>
        <v>10000000</v>
      </c>
      <c r="R20" s="336" t="str">
        <f>'Exit Transaction 2'!A8</f>
        <v>Series A Preferred Investors</v>
      </c>
      <c r="S20" s="337">
        <f>'Exit Transaction 2'!D8</f>
        <v>25982127.159245748</v>
      </c>
    </row>
    <row r="21" spans="1:19" s="37" customFormat="1" ht="15.75">
      <c r="A21" s="75" t="s">
        <v>63</v>
      </c>
      <c r="B21" s="46">
        <v>0</v>
      </c>
      <c r="C21" s="204">
        <f>B21</f>
        <v>0</v>
      </c>
      <c r="D21" s="45">
        <f>B21/$B$26</f>
        <v>0</v>
      </c>
      <c r="E21" s="69">
        <v>0</v>
      </c>
      <c r="F21" s="140">
        <f>SUM(B21,E21)</f>
        <v>0</v>
      </c>
      <c r="G21" s="45">
        <f>F21/$F$26</f>
        <v>0</v>
      </c>
      <c r="H21" s="69">
        <v>0</v>
      </c>
      <c r="I21" s="140">
        <f>SUM(F21,H21)</f>
        <v>0</v>
      </c>
      <c r="J21" s="72">
        <f>I21/$I$26</f>
        <v>0</v>
      </c>
      <c r="K21" s="76">
        <f>SUM('Series B Preferred'!J11:J12)</f>
        <v>12888238.711619021</v>
      </c>
      <c r="L21" s="140">
        <f>SUM(I21,K21)</f>
        <v>12888238.711619021</v>
      </c>
      <c r="M21" s="66">
        <f>L21/$L$26</f>
        <v>0.5</v>
      </c>
      <c r="N21" s="199"/>
      <c r="O21" s="336" t="str">
        <f>'Exit Transaction 1'!A9</f>
        <v>Series B Preferred Investors</v>
      </c>
      <c r="P21" s="337">
        <f>'Exit Transaction 1'!D9</f>
        <v>31405329.15888955</v>
      </c>
      <c r="R21" s="336" t="str">
        <f>'Exit Transaction 2'!A9</f>
        <v>Series B Preferred Investors</v>
      </c>
      <c r="S21" s="337">
        <f>'Exit Transaction 2'!D9</f>
        <v>45000000</v>
      </c>
    </row>
    <row r="22" spans="1:19" s="37" customFormat="1" ht="15.75">
      <c r="A22" s="355"/>
      <c r="B22" s="46"/>
      <c r="C22" s="204"/>
      <c r="D22" s="45"/>
      <c r="E22" s="69"/>
      <c r="F22" s="140"/>
      <c r="G22" s="45"/>
      <c r="H22" s="69"/>
      <c r="I22" s="140"/>
      <c r="J22" s="72"/>
      <c r="K22" s="76"/>
      <c r="L22" s="143"/>
      <c r="M22" s="66"/>
      <c r="N22" s="199"/>
      <c r="O22" s="336"/>
      <c r="P22" s="337"/>
      <c r="R22" s="336"/>
      <c r="S22" s="337"/>
    </row>
    <row r="23" spans="1:19" ht="15.75">
      <c r="A23" s="30" t="s">
        <v>211</v>
      </c>
      <c r="B23" s="46">
        <v>0</v>
      </c>
      <c r="C23" s="204">
        <f>B23</f>
        <v>0</v>
      </c>
      <c r="D23" s="45">
        <f>B23/$B$26</f>
        <v>0</v>
      </c>
      <c r="E23" s="69">
        <v>0</v>
      </c>
      <c r="F23" s="140">
        <f>SUM(B23,E23)</f>
        <v>0</v>
      </c>
      <c r="G23" s="45">
        <f>F23/$F$26</f>
        <v>0</v>
      </c>
      <c r="H23" s="69">
        <f>'Series A Preferred'!H10</f>
        <v>100000</v>
      </c>
      <c r="I23" s="140">
        <f>SUM(F23,H23)</f>
        <v>100000</v>
      </c>
      <c r="J23" s="72">
        <f>I23/$I$26</f>
        <v>0.010227272727272727</v>
      </c>
      <c r="K23" s="69">
        <v>0</v>
      </c>
      <c r="L23" s="140">
        <f>SUM(I23,K23)</f>
        <v>100000</v>
      </c>
      <c r="M23" s="66">
        <f>L23/$L$26</f>
        <v>0.0038795060456883017</v>
      </c>
      <c r="N23" s="199"/>
      <c r="O23" s="336" t="str">
        <f>'Exit Transaction 1'!A11</f>
        <v>Warrant Holders</v>
      </c>
      <c r="P23" s="337">
        <f>'Exit Transaction 1'!D11</f>
        <v>127289.1473068372</v>
      </c>
      <c r="R23" s="336" t="str">
        <f>'Exit Transaction 2'!A11</f>
        <v>Warrant Holders</v>
      </c>
      <c r="S23" s="337">
        <f>'Exit Transaction 2'!D11</f>
        <v>426745.66502571316</v>
      </c>
    </row>
    <row r="24" spans="1:19" ht="15.75">
      <c r="A24" s="29" t="s">
        <v>66</v>
      </c>
      <c r="B24" s="46">
        <f>Formation!B8</f>
        <v>0</v>
      </c>
      <c r="C24" s="204">
        <f>B24</f>
        <v>0</v>
      </c>
      <c r="D24" s="45">
        <f>B24/$B$26</f>
        <v>0</v>
      </c>
      <c r="E24" s="69">
        <f>'Series Seed Preferred'!E9</f>
        <v>500000</v>
      </c>
      <c r="F24" s="143">
        <f>SUM(B24,E24)</f>
        <v>500000</v>
      </c>
      <c r="G24" s="45">
        <f>F24/$F$26</f>
        <v>0.15</v>
      </c>
      <c r="H24" s="69">
        <f>'Series A Preferred'!H12</f>
        <v>1455555.5555555557</v>
      </c>
      <c r="I24" s="143">
        <f>SUM(F24,H24)</f>
        <v>1955555.5555555557</v>
      </c>
      <c r="J24" s="72">
        <f>I24/$I$26</f>
        <v>0.2</v>
      </c>
      <c r="K24" s="69">
        <f>SUM('Series B Preferred'!J15:J17)</f>
        <v>1910916.0579301503</v>
      </c>
      <c r="L24" s="143">
        <f>SUM(I24,K24)</f>
        <v>3866471.613485706</v>
      </c>
      <c r="M24" s="66">
        <f>L24/$L$26</f>
        <v>0.15</v>
      </c>
      <c r="N24" s="199"/>
      <c r="O24" s="336" t="str">
        <f>'Exit Transaction 1'!A12</f>
        <v>Option Holders</v>
      </c>
      <c r="P24" s="337">
        <f>'Exit Transaction 1'!D12</f>
        <v>4921598.747666865</v>
      </c>
      <c r="R24" s="336" t="str">
        <f>'Exit Transaction 2'!A12</f>
        <v>Option Holders</v>
      </c>
      <c r="S24" s="337">
        <f>'Exit Transaction 2'!D12</f>
        <v>16500000</v>
      </c>
    </row>
    <row r="25" spans="1:19" ht="16.5" thickBot="1">
      <c r="A25" s="31"/>
      <c r="B25" s="47"/>
      <c r="C25" s="205"/>
      <c r="D25" s="48"/>
      <c r="E25" s="51"/>
      <c r="F25" s="139"/>
      <c r="G25" s="52"/>
      <c r="H25" s="51"/>
      <c r="I25" s="139"/>
      <c r="J25" s="52"/>
      <c r="K25" s="54"/>
      <c r="L25" s="195"/>
      <c r="M25" s="55"/>
      <c r="N25" s="200"/>
      <c r="O25" s="338"/>
      <c r="P25" s="339"/>
      <c r="R25" s="338"/>
      <c r="S25" s="339"/>
    </row>
    <row r="26" spans="1:19" ht="16.5" thickBot="1">
      <c r="A26" s="28" t="s">
        <v>64</v>
      </c>
      <c r="B26" s="193">
        <f aca="true" t="shared" si="0" ref="B26:I26">SUM(B17:B25)</f>
        <v>2000000</v>
      </c>
      <c r="C26" s="196"/>
      <c r="D26" s="33">
        <f t="shared" si="0"/>
        <v>1</v>
      </c>
      <c r="E26" s="130">
        <f t="shared" si="0"/>
        <v>1333333.3333333335</v>
      </c>
      <c r="F26" s="179">
        <f t="shared" si="0"/>
        <v>3333333.3333333335</v>
      </c>
      <c r="G26" s="57">
        <f t="shared" si="0"/>
        <v>1</v>
      </c>
      <c r="H26" s="130">
        <f t="shared" si="0"/>
        <v>6444444.444444445</v>
      </c>
      <c r="I26" s="179">
        <f t="shared" si="0"/>
        <v>9777777.777777778</v>
      </c>
      <c r="J26" s="57">
        <f>SUM(J17:J25)</f>
        <v>1</v>
      </c>
      <c r="K26" s="56">
        <f>SUM(K17:K25)</f>
        <v>15998699.645460265</v>
      </c>
      <c r="L26" s="179">
        <f>SUM(L17:L25)</f>
        <v>25776477.423238043</v>
      </c>
      <c r="M26" s="57">
        <f>SUM(M17:M25)</f>
        <v>1</v>
      </c>
      <c r="N26" s="201"/>
      <c r="O26" s="341" t="s">
        <v>187</v>
      </c>
      <c r="P26" s="332">
        <f>SUM(P17:P25)</f>
        <v>49999999.99999999</v>
      </c>
      <c r="R26" s="341" t="s">
        <v>187</v>
      </c>
      <c r="S26" s="332">
        <f>SUM(S17:S25)</f>
        <v>100000000</v>
      </c>
    </row>
    <row r="27" spans="1:8" ht="15.75">
      <c r="A27" s="34"/>
      <c r="B27" s="35"/>
      <c r="C27" s="35"/>
      <c r="D27" s="36"/>
      <c r="E27" s="35"/>
      <c r="F27" s="35"/>
      <c r="G27" s="35"/>
      <c r="H27" s="36"/>
    </row>
    <row r="28" ht="15.75">
      <c r="A28" s="5" t="s">
        <v>76</v>
      </c>
    </row>
    <row r="30" ht="15.75">
      <c r="A30" s="5" t="s">
        <v>65</v>
      </c>
    </row>
    <row r="32" ht="15.75">
      <c r="A32" s="5" t="s">
        <v>68</v>
      </c>
    </row>
  </sheetData>
  <sheetProtection/>
  <mergeCells count="38">
    <mergeCell ref="B12:C12"/>
    <mergeCell ref="B13:C13"/>
    <mergeCell ref="K10:L10"/>
    <mergeCell ref="K11:L11"/>
    <mergeCell ref="K12:L12"/>
    <mergeCell ref="K14:L14"/>
    <mergeCell ref="H10:I10"/>
    <mergeCell ref="H11:I11"/>
    <mergeCell ref="H12:I12"/>
    <mergeCell ref="H13:I13"/>
    <mergeCell ref="B4:C4"/>
    <mergeCell ref="B5:C5"/>
    <mergeCell ref="B6:C6"/>
    <mergeCell ref="B7:C7"/>
    <mergeCell ref="B8:C8"/>
    <mergeCell ref="B9:C9"/>
    <mergeCell ref="K5:L5"/>
    <mergeCell ref="K6:L6"/>
    <mergeCell ref="K7:L7"/>
    <mergeCell ref="E7:F7"/>
    <mergeCell ref="K8:L8"/>
    <mergeCell ref="K9:L9"/>
    <mergeCell ref="B14:D14"/>
    <mergeCell ref="E5:F5"/>
    <mergeCell ref="E6:F6"/>
    <mergeCell ref="E8:F8"/>
    <mergeCell ref="E9:F9"/>
    <mergeCell ref="E10:F10"/>
    <mergeCell ref="E12:F12"/>
    <mergeCell ref="E13:F13"/>
    <mergeCell ref="B10:C10"/>
    <mergeCell ref="B11:C11"/>
    <mergeCell ref="H4:I4"/>
    <mergeCell ref="H5:I5"/>
    <mergeCell ref="H6:I6"/>
    <mergeCell ref="H7:I7"/>
    <mergeCell ref="H8:I8"/>
    <mergeCell ref="H9:I9"/>
  </mergeCells>
  <printOptions/>
  <pageMargins left="0.7" right="0.7" top="0.75" bottom="0.75" header="0.3" footer="0.3"/>
  <pageSetup horizontalDpi="600" verticalDpi="600" orientation="portrait" r:id="rId1"/>
  <headerFooter>
    <oddFooter>&amp;L&amp;"Arial,Regular"&amp;8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120" zoomScaleNormal="120" zoomScalePageLayoutView="0" workbookViewId="0" topLeftCell="A4">
      <selection activeCell="C39" sqref="C39"/>
    </sheetView>
  </sheetViews>
  <sheetFormatPr defaultColWidth="9.140625" defaultRowHeight="12.75"/>
  <cols>
    <col min="1" max="1" width="25.8515625" style="0" customWidth="1"/>
    <col min="2" max="2" width="11.57421875" style="0" bestFit="1" customWidth="1"/>
    <col min="3" max="3" width="13.28125" style="0" customWidth="1"/>
    <col min="4" max="4" width="14.00390625" style="0" customWidth="1"/>
    <col min="5" max="5" width="12.140625" style="0" customWidth="1"/>
  </cols>
  <sheetData>
    <row r="1" spans="1:4" ht="15.75">
      <c r="A1" s="26" t="s">
        <v>92</v>
      </c>
      <c r="B1" s="63"/>
      <c r="C1" s="64"/>
      <c r="D1" s="64"/>
    </row>
    <row r="2" spans="1:2" ht="12.75">
      <c r="A2" s="3" t="s">
        <v>9</v>
      </c>
      <c r="B2" s="4">
        <f ca="1">TODAY()</f>
        <v>42627</v>
      </c>
    </row>
    <row r="3" ht="13.5" thickBot="1"/>
    <row r="4" spans="1:5" ht="48" thickBot="1">
      <c r="A4" s="61" t="s">
        <v>22</v>
      </c>
      <c r="B4" s="49" t="s">
        <v>20</v>
      </c>
      <c r="C4" s="88" t="s">
        <v>7</v>
      </c>
      <c r="D4" s="87" t="s">
        <v>23</v>
      </c>
      <c r="E4" s="62" t="s">
        <v>41</v>
      </c>
    </row>
    <row r="5" spans="1:5" ht="15.75">
      <c r="A5" s="165" t="s">
        <v>15</v>
      </c>
      <c r="B5" s="43">
        <v>1000000</v>
      </c>
      <c r="C5" s="155">
        <f>B5/$B$10</f>
        <v>0.5</v>
      </c>
      <c r="D5" s="79">
        <f>B5</f>
        <v>1000000</v>
      </c>
      <c r="E5" s="81">
        <f>D5/$D$10</f>
        <v>0.5</v>
      </c>
    </row>
    <row r="6" spans="1:5" ht="15.75">
      <c r="A6" s="166" t="s">
        <v>16</v>
      </c>
      <c r="B6" s="44">
        <v>1000000</v>
      </c>
      <c r="C6" s="156">
        <f>B6/$B$10</f>
        <v>0.5</v>
      </c>
      <c r="D6" s="80">
        <f>B6</f>
        <v>1000000</v>
      </c>
      <c r="E6" s="82">
        <f>D6/$D$10</f>
        <v>0.5</v>
      </c>
    </row>
    <row r="7" spans="1:5" ht="15.75">
      <c r="A7" s="167"/>
      <c r="B7" s="44"/>
      <c r="C7" s="156"/>
      <c r="D7" s="80"/>
      <c r="E7" s="82"/>
    </row>
    <row r="8" spans="1:5" ht="15.75">
      <c r="A8" s="166" t="s">
        <v>21</v>
      </c>
      <c r="B8" s="46">
        <v>0</v>
      </c>
      <c r="C8" s="157">
        <f>B8/$B$10</f>
        <v>0</v>
      </c>
      <c r="D8" s="80">
        <f>B8</f>
        <v>0</v>
      </c>
      <c r="E8" s="82">
        <f>D8/$D$10</f>
        <v>0</v>
      </c>
    </row>
    <row r="9" spans="1:5" ht="16.5" thickBot="1">
      <c r="A9" s="168"/>
      <c r="B9" s="47"/>
      <c r="C9" s="158"/>
      <c r="D9" s="79"/>
      <c r="E9" s="83"/>
    </row>
    <row r="10" spans="1:5" ht="16.5" thickBot="1">
      <c r="A10" s="28" t="s">
        <v>3</v>
      </c>
      <c r="B10" s="32">
        <f>SUM(B5:B9)</f>
        <v>2000000</v>
      </c>
      <c r="C10" s="159">
        <f>SUM(C5:C9)</f>
        <v>1</v>
      </c>
      <c r="D10" s="89">
        <f>SUM(D5:D9)</f>
        <v>2000000</v>
      </c>
      <c r="E10" s="90">
        <f>SUM(E5:E9)</f>
        <v>1</v>
      </c>
    </row>
  </sheetData>
  <sheetProtection/>
  <printOptions/>
  <pageMargins left="0.7" right="0.7" top="0.75" bottom="0.75" header="0.3" footer="0.3"/>
  <pageSetup horizontalDpi="1200" verticalDpi="1200" orientation="portrait" r:id="rId1"/>
  <headerFooter>
    <oddFooter>&amp;L&amp;"Arial,Regular"&amp;8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zoomScale="120" zoomScaleNormal="120" zoomScalePageLayoutView="0" workbookViewId="0" topLeftCell="A1">
      <pane ySplit="12" topLeftCell="A13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32.8515625" style="0" customWidth="1"/>
    <col min="2" max="2" width="12.8515625" style="0" bestFit="1" customWidth="1"/>
    <col min="3" max="3" width="11.8515625" style="0" customWidth="1"/>
    <col min="4" max="4" width="13.28125" style="0" customWidth="1"/>
    <col min="5" max="5" width="15.00390625" style="0" customWidth="1"/>
    <col min="6" max="6" width="13.57421875" style="0" customWidth="1"/>
    <col min="7" max="7" width="11.28125" style="0" bestFit="1" customWidth="1"/>
    <col min="9" max="9" width="12.8515625" style="0" bestFit="1" customWidth="1"/>
    <col min="11" max="11" width="14.00390625" style="0" bestFit="1" customWidth="1"/>
    <col min="14" max="14" width="10.28125" style="0" bestFit="1" customWidth="1"/>
  </cols>
  <sheetData>
    <row r="1" spans="1:4" ht="15.75">
      <c r="A1" s="18" t="s">
        <v>8</v>
      </c>
      <c r="B1" s="65"/>
      <c r="C1" s="65"/>
      <c r="D1" s="77"/>
    </row>
    <row r="2" spans="1:3" ht="12.75">
      <c r="A2" s="3" t="s">
        <v>9</v>
      </c>
      <c r="B2" s="4">
        <f ca="1">TODAY()</f>
        <v>42627</v>
      </c>
      <c r="C2" s="1"/>
    </row>
    <row r="3" ht="13.5" thickBot="1"/>
    <row r="4" spans="1:6" ht="48" thickBot="1">
      <c r="A4" s="61" t="s">
        <v>22</v>
      </c>
      <c r="B4" s="49" t="s">
        <v>20</v>
      </c>
      <c r="C4" s="50" t="s">
        <v>7</v>
      </c>
      <c r="D4" s="217" t="s">
        <v>30</v>
      </c>
      <c r="E4" s="218" t="s">
        <v>23</v>
      </c>
      <c r="F4" s="219" t="s">
        <v>41</v>
      </c>
    </row>
    <row r="5" spans="1:6" ht="15.75">
      <c r="A5" s="165" t="s">
        <v>15</v>
      </c>
      <c r="B5" s="109">
        <f>Formation!B5</f>
        <v>1000000</v>
      </c>
      <c r="C5" s="70">
        <f>B5/$B$12</f>
        <v>0.5</v>
      </c>
      <c r="D5" s="125">
        <v>0</v>
      </c>
      <c r="E5" s="161">
        <f>SUM(B5,D5)</f>
        <v>1000000</v>
      </c>
      <c r="F5" s="171">
        <f>E5/$E$12</f>
        <v>0.3</v>
      </c>
    </row>
    <row r="6" spans="1:12" ht="15.75">
      <c r="A6" s="166" t="s">
        <v>16</v>
      </c>
      <c r="B6" s="44">
        <f>Formation!B6</f>
        <v>1000000</v>
      </c>
      <c r="C6" s="72">
        <f>B6/$B$12</f>
        <v>0.5</v>
      </c>
      <c r="D6" s="126">
        <v>0</v>
      </c>
      <c r="E6" s="162">
        <f>SUM(B6,D6)</f>
        <v>1000000</v>
      </c>
      <c r="F6" s="95">
        <f>E6/$E$12</f>
        <v>0.3</v>
      </c>
      <c r="I6" s="96"/>
      <c r="L6" s="106"/>
    </row>
    <row r="7" spans="1:9" ht="15.75">
      <c r="A7" s="167" t="s">
        <v>47</v>
      </c>
      <c r="B7" s="44">
        <v>0</v>
      </c>
      <c r="C7" s="72">
        <f>B7/$B$12</f>
        <v>0</v>
      </c>
      <c r="D7" s="127">
        <f>D35</f>
        <v>833333.3333333334</v>
      </c>
      <c r="E7" s="162">
        <f>SUM(B7,D7)</f>
        <v>833333.3333333334</v>
      </c>
      <c r="F7" s="95">
        <f>E7/$E$12</f>
        <v>0.25</v>
      </c>
      <c r="I7" s="101"/>
    </row>
    <row r="8" spans="1:6" ht="15.75">
      <c r="A8" s="167"/>
      <c r="B8" s="44"/>
      <c r="C8" s="84"/>
      <c r="D8" s="128"/>
      <c r="E8" s="162"/>
      <c r="F8" s="95"/>
    </row>
    <row r="9" spans="1:6" ht="15.75">
      <c r="A9" s="166" t="s">
        <v>214</v>
      </c>
      <c r="B9" s="44">
        <f>Formation!B8</f>
        <v>0</v>
      </c>
      <c r="C9" s="84">
        <f>B9/$B$12</f>
        <v>0</v>
      </c>
      <c r="D9" s="126"/>
      <c r="E9" s="162">
        <f>D41</f>
        <v>500000</v>
      </c>
      <c r="F9" s="95">
        <f>E9/$E$12</f>
        <v>0.15</v>
      </c>
    </row>
    <row r="10" spans="1:6" ht="15.75">
      <c r="A10" s="166"/>
      <c r="B10" s="78"/>
      <c r="C10" s="85"/>
      <c r="D10" s="126"/>
      <c r="E10" s="162"/>
      <c r="F10" s="95"/>
    </row>
    <row r="11" spans="1:6" ht="16.5" thickBot="1">
      <c r="A11" s="168"/>
      <c r="B11" s="47"/>
      <c r="C11" s="86"/>
      <c r="D11" s="129"/>
      <c r="E11" s="163"/>
      <c r="F11" s="100"/>
    </row>
    <row r="12" spans="1:6" ht="16.5" thickBot="1">
      <c r="A12" s="28" t="s">
        <v>3</v>
      </c>
      <c r="B12" s="32">
        <f>SUM(B5:B11)</f>
        <v>2000000</v>
      </c>
      <c r="C12" s="57">
        <f>SUM(C5:C11)</f>
        <v>1</v>
      </c>
      <c r="D12" s="130">
        <f>SUM(D5:D11)</f>
        <v>833333.3333333334</v>
      </c>
      <c r="E12" s="164">
        <f>SUM(E5:E11)</f>
        <v>3333333.3333333335</v>
      </c>
      <c r="F12" s="110">
        <f>SUM(F5:F11)</f>
        <v>1</v>
      </c>
    </row>
    <row r="15" spans="1:3" ht="12.75">
      <c r="A15" s="98" t="s">
        <v>33</v>
      </c>
      <c r="C15" s="2"/>
    </row>
    <row r="16" spans="1:3" ht="12.75">
      <c r="A16" s="98"/>
      <c r="C16" s="2"/>
    </row>
    <row r="17" spans="1:15" ht="12.75">
      <c r="A17" s="97" t="s">
        <v>34</v>
      </c>
      <c r="F17" s="115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ht="12.75">
      <c r="A18" s="2" t="s">
        <v>88</v>
      </c>
      <c r="D18" s="102">
        <f>Formation!E10</f>
        <v>1</v>
      </c>
      <c r="F18" s="117"/>
      <c r="G18" s="116"/>
      <c r="H18" s="117"/>
      <c r="I18" s="116"/>
      <c r="J18" s="116"/>
      <c r="K18" s="116"/>
      <c r="L18" s="116"/>
      <c r="M18" s="116"/>
      <c r="N18" s="116"/>
      <c r="O18" s="116"/>
    </row>
    <row r="19" spans="1:15" ht="12.75">
      <c r="A19" s="111" t="s">
        <v>58</v>
      </c>
      <c r="D19" s="102">
        <f>'Final Fully Diluted'!G13</f>
        <v>0.25</v>
      </c>
      <c r="F19" s="118"/>
      <c r="G19" s="119"/>
      <c r="H19" s="120"/>
      <c r="I19" s="119"/>
      <c r="J19" s="113"/>
      <c r="K19" s="119"/>
      <c r="L19" s="112"/>
      <c r="M19" s="116"/>
      <c r="N19" s="116"/>
      <c r="O19" s="116"/>
    </row>
    <row r="20" spans="1:15" ht="12.75">
      <c r="A20" s="2" t="s">
        <v>44</v>
      </c>
      <c r="D20" s="114">
        <f>D18-D19</f>
        <v>0.75</v>
      </c>
      <c r="F20" s="118"/>
      <c r="G20" s="119"/>
      <c r="H20" s="120"/>
      <c r="I20" s="119"/>
      <c r="J20" s="113"/>
      <c r="K20" s="119"/>
      <c r="L20" s="112"/>
      <c r="M20" s="116"/>
      <c r="N20" s="116"/>
      <c r="O20" s="116"/>
    </row>
    <row r="21" spans="1:15" ht="12.75">
      <c r="A21" s="111" t="s">
        <v>45</v>
      </c>
      <c r="D21" s="113">
        <f>'Final Fully Diluted'!G10</f>
        <v>0.15</v>
      </c>
      <c r="F21" s="118"/>
      <c r="G21" s="119"/>
      <c r="H21" s="120"/>
      <c r="I21" s="119"/>
      <c r="J21" s="113"/>
      <c r="K21" s="119"/>
      <c r="L21" s="112"/>
      <c r="M21" s="116"/>
      <c r="N21" s="116"/>
      <c r="O21" s="116"/>
    </row>
    <row r="22" spans="1:15" ht="13.5" thickBot="1">
      <c r="A22" s="2" t="s">
        <v>94</v>
      </c>
      <c r="D22" s="131">
        <f>D20-D21</f>
        <v>0.6</v>
      </c>
      <c r="F22" s="118"/>
      <c r="G22" s="119"/>
      <c r="H22" s="120"/>
      <c r="I22" s="119"/>
      <c r="J22" s="113"/>
      <c r="K22" s="119"/>
      <c r="L22" s="113"/>
      <c r="M22" s="116"/>
      <c r="N22" s="116"/>
      <c r="O22" s="116"/>
    </row>
    <row r="23" spans="1:15" ht="13.5" thickTop="1">
      <c r="A23" s="2"/>
      <c r="D23" s="132"/>
      <c r="F23" s="118"/>
      <c r="G23" s="119"/>
      <c r="H23" s="120"/>
      <c r="I23" s="119"/>
      <c r="J23" s="113"/>
      <c r="K23" s="119"/>
      <c r="L23" s="113"/>
      <c r="M23" s="116"/>
      <c r="N23" s="116"/>
      <c r="O23" s="116"/>
    </row>
    <row r="24" spans="1:15" ht="12.75">
      <c r="A24" s="97" t="s">
        <v>35</v>
      </c>
      <c r="D24" s="2"/>
      <c r="F24" s="115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12.75">
      <c r="A25" s="2" t="s">
        <v>54</v>
      </c>
      <c r="D25" s="133">
        <f>B5</f>
        <v>1000000</v>
      </c>
      <c r="F25" s="117"/>
      <c r="G25" s="116"/>
      <c r="H25" s="116"/>
      <c r="I25" s="116"/>
      <c r="J25" s="116"/>
      <c r="K25" s="116"/>
      <c r="L25" s="116"/>
      <c r="M25" s="116"/>
      <c r="N25" s="116"/>
      <c r="O25" s="116"/>
    </row>
    <row r="26" spans="1:15" ht="12.75">
      <c r="A26" s="2" t="s">
        <v>55</v>
      </c>
      <c r="D26" s="133">
        <f>B6</f>
        <v>1000000</v>
      </c>
      <c r="F26" s="121"/>
      <c r="G26" s="119"/>
      <c r="H26" s="122"/>
      <c r="I26" s="119"/>
      <c r="J26" s="122"/>
      <c r="K26" s="123"/>
      <c r="L26" s="120"/>
      <c r="M26" s="119"/>
      <c r="N26" s="107"/>
      <c r="O26" s="116"/>
    </row>
    <row r="27" spans="1:15" ht="12.75">
      <c r="A27" s="2" t="s">
        <v>89</v>
      </c>
      <c r="D27" s="134">
        <f>D25+D26</f>
        <v>2000000</v>
      </c>
      <c r="F27" s="121"/>
      <c r="G27" s="119"/>
      <c r="H27" s="122"/>
      <c r="I27" s="119"/>
      <c r="J27" s="122"/>
      <c r="K27" s="123"/>
      <c r="L27" s="120"/>
      <c r="M27" s="119"/>
      <c r="N27" s="107"/>
      <c r="O27" s="116"/>
    </row>
    <row r="28" spans="1:15" ht="13.5" thickBot="1">
      <c r="A28" s="111" t="s">
        <v>95</v>
      </c>
      <c r="D28" s="135">
        <f>D22</f>
        <v>0.6</v>
      </c>
      <c r="E28" s="104"/>
      <c r="F28" s="119"/>
      <c r="G28" s="122"/>
      <c r="H28" s="123"/>
      <c r="I28" s="120"/>
      <c r="J28" s="119"/>
      <c r="K28" s="107"/>
      <c r="L28" s="116"/>
      <c r="M28" s="116"/>
      <c r="N28" s="116"/>
      <c r="O28" s="116"/>
    </row>
    <row r="29" spans="1:11" ht="14.25" thickBot="1" thickTop="1">
      <c r="A29" s="97" t="s">
        <v>85</v>
      </c>
      <c r="D29" s="160">
        <f>D27/D28</f>
        <v>3333333.3333333335</v>
      </c>
      <c r="E29" s="104"/>
      <c r="F29" s="99"/>
      <c r="G29" s="104"/>
      <c r="H29" s="105"/>
      <c r="I29" s="103"/>
      <c r="J29" s="99"/>
      <c r="K29" s="107"/>
    </row>
    <row r="30" spans="1:11" ht="13.5" thickTop="1">
      <c r="A30" s="97"/>
      <c r="D30" s="136"/>
      <c r="E30" s="104"/>
      <c r="F30" s="99"/>
      <c r="G30" s="104"/>
      <c r="H30" s="105"/>
      <c r="I30" s="103"/>
      <c r="J30" s="99"/>
      <c r="K30" s="107"/>
    </row>
    <row r="31" spans="1:4" ht="12.75">
      <c r="A31" s="98" t="s">
        <v>46</v>
      </c>
      <c r="D31" s="2"/>
    </row>
    <row r="32" spans="1:4" ht="12.75">
      <c r="A32" s="98"/>
      <c r="D32" s="2"/>
    </row>
    <row r="33" spans="1:11" ht="12.75">
      <c r="A33" s="2" t="s">
        <v>85</v>
      </c>
      <c r="D33" s="133">
        <f>D29</f>
        <v>3333333.3333333335</v>
      </c>
      <c r="G33" s="117"/>
      <c r="H33" s="116"/>
      <c r="I33" s="116"/>
      <c r="J33" s="116"/>
      <c r="K33" s="116"/>
    </row>
    <row r="34" spans="1:11" ht="12.75">
      <c r="A34" s="2" t="s">
        <v>49</v>
      </c>
      <c r="D34" s="137">
        <f>D19</f>
        <v>0.25</v>
      </c>
      <c r="G34" s="121"/>
      <c r="H34" s="119"/>
      <c r="I34" s="120"/>
      <c r="J34" s="119"/>
      <c r="K34" s="108"/>
    </row>
    <row r="35" spans="1:11" ht="13.5" thickBot="1">
      <c r="A35" s="97" t="s">
        <v>91</v>
      </c>
      <c r="B35" s="97"/>
      <c r="C35" s="97"/>
      <c r="D35" s="160">
        <f>D33*D34</f>
        <v>833333.3333333334</v>
      </c>
      <c r="E35" s="103"/>
      <c r="F35" s="99"/>
      <c r="G35" s="108"/>
      <c r="H35" s="116"/>
      <c r="I35" s="116"/>
      <c r="J35" s="116"/>
      <c r="K35" s="116"/>
    </row>
    <row r="36" spans="4:11" ht="13.5" thickTop="1">
      <c r="D36" s="124"/>
      <c r="E36" s="103"/>
      <c r="F36" s="99"/>
      <c r="G36" s="108"/>
      <c r="H36" s="116"/>
      <c r="I36" s="116"/>
      <c r="J36" s="116"/>
      <c r="K36" s="116"/>
    </row>
    <row r="37" spans="1:11" ht="12.75">
      <c r="A37" s="98" t="s">
        <v>36</v>
      </c>
      <c r="G37" s="116"/>
      <c r="H37" s="116"/>
      <c r="I37" s="116"/>
      <c r="J37" s="116"/>
      <c r="K37" s="116"/>
    </row>
    <row r="38" spans="1:11" ht="12.75">
      <c r="A38" s="98"/>
      <c r="G38" s="116"/>
      <c r="H38" s="116"/>
      <c r="I38" s="116"/>
      <c r="J38" s="116"/>
      <c r="K38" s="116"/>
    </row>
    <row r="39" spans="1:11" ht="12.75">
      <c r="A39" s="2" t="s">
        <v>85</v>
      </c>
      <c r="D39" s="92">
        <f>D29</f>
        <v>3333333.3333333335</v>
      </c>
      <c r="G39" s="117"/>
      <c r="H39" s="116"/>
      <c r="I39" s="116"/>
      <c r="J39" s="116"/>
      <c r="K39" s="116"/>
    </row>
    <row r="40" spans="1:11" ht="12.75">
      <c r="A40" s="2" t="s">
        <v>87</v>
      </c>
      <c r="D40" s="102">
        <f>D21</f>
        <v>0.15</v>
      </c>
      <c r="G40" s="121"/>
      <c r="H40" s="119"/>
      <c r="I40" s="120"/>
      <c r="J40" s="119"/>
      <c r="K40" s="108"/>
    </row>
    <row r="41" spans="1:11" ht="13.5" thickBot="1">
      <c r="A41" s="97" t="s">
        <v>48</v>
      </c>
      <c r="B41" s="97"/>
      <c r="C41" s="97"/>
      <c r="D41" s="160">
        <f>D39*D40</f>
        <v>500000</v>
      </c>
      <c r="G41" s="116"/>
      <c r="H41" s="116"/>
      <c r="I41" s="116"/>
      <c r="J41" s="116"/>
      <c r="K41" s="116"/>
    </row>
    <row r="42" ht="13.5" thickTop="1"/>
    <row r="46" spans="1:3" ht="12.75">
      <c r="A46" s="2"/>
      <c r="C46" s="91"/>
    </row>
    <row r="48" spans="1:3" ht="12.75">
      <c r="A48" s="2"/>
      <c r="C48" s="92"/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&amp;L&amp;"Arial,Regular"&amp;8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zoomScale="120" zoomScaleNormal="120" zoomScalePageLayoutView="0" workbookViewId="0" topLeftCell="A1">
      <selection activeCell="H10" sqref="H10"/>
    </sheetView>
  </sheetViews>
  <sheetFormatPr defaultColWidth="9.140625" defaultRowHeight="12.75"/>
  <cols>
    <col min="1" max="1" width="42.8515625" style="0" customWidth="1"/>
    <col min="2" max="2" width="14.00390625" style="0" customWidth="1"/>
    <col min="3" max="3" width="14.7109375" style="0" customWidth="1"/>
    <col min="4" max="4" width="13.28125" style="0" customWidth="1"/>
    <col min="5" max="5" width="13.57421875" style="0" customWidth="1"/>
    <col min="6" max="6" width="11.7109375" style="0" customWidth="1"/>
    <col min="7" max="7" width="13.57421875" style="0" bestFit="1" customWidth="1"/>
    <col min="8" max="8" width="15.140625" style="0" customWidth="1"/>
    <col min="9" max="9" width="12.8515625" style="0" bestFit="1" customWidth="1"/>
    <col min="11" max="11" width="14.00390625" style="0" bestFit="1" customWidth="1"/>
    <col min="14" max="14" width="10.28125" style="0" bestFit="1" customWidth="1"/>
  </cols>
  <sheetData>
    <row r="1" spans="1:4" ht="15.75">
      <c r="A1" s="185" t="s">
        <v>77</v>
      </c>
      <c r="B1" s="186"/>
      <c r="C1" s="207"/>
      <c r="D1" s="77"/>
    </row>
    <row r="2" spans="1:3" ht="12.75">
      <c r="A2" s="3" t="s">
        <v>9</v>
      </c>
      <c r="B2" s="4">
        <f ca="1">TODAY()</f>
        <v>42627</v>
      </c>
      <c r="C2" s="1"/>
    </row>
    <row r="3" ht="13.5" thickBot="1"/>
    <row r="4" spans="1:9" ht="48" thickBot="1">
      <c r="A4" s="61" t="s">
        <v>22</v>
      </c>
      <c r="B4" s="49" t="s">
        <v>20</v>
      </c>
      <c r="C4" s="50" t="s">
        <v>7</v>
      </c>
      <c r="D4" s="141" t="s">
        <v>30</v>
      </c>
      <c r="E4" s="142" t="s">
        <v>23</v>
      </c>
      <c r="F4" s="210" t="s">
        <v>41</v>
      </c>
      <c r="G4" s="150" t="s">
        <v>31</v>
      </c>
      <c r="H4" s="151" t="s">
        <v>23</v>
      </c>
      <c r="I4" s="220" t="s">
        <v>41</v>
      </c>
    </row>
    <row r="5" spans="1:9" ht="15.75">
      <c r="A5" s="165" t="s">
        <v>15</v>
      </c>
      <c r="B5" s="43">
        <f>Formation!B5</f>
        <v>1000000</v>
      </c>
      <c r="C5" s="70">
        <f>B5/$B$14</f>
        <v>0.5</v>
      </c>
      <c r="D5" s="208">
        <f>'Series Seed Preferred'!D5</f>
        <v>0</v>
      </c>
      <c r="E5" s="161">
        <f>SUM(B5,D5)</f>
        <v>1000000</v>
      </c>
      <c r="F5" s="211">
        <f>E5/$E$14</f>
        <v>0.3</v>
      </c>
      <c r="G5" s="68">
        <v>0</v>
      </c>
      <c r="H5" s="161">
        <f>SUM(E5,G5)</f>
        <v>1000000</v>
      </c>
      <c r="I5" s="94">
        <f aca="true" t="shared" si="0" ref="I5:I12">H5/$H$14</f>
        <v>0.10227272727272727</v>
      </c>
    </row>
    <row r="6" spans="1:12" ht="15.75">
      <c r="A6" s="166" t="s">
        <v>16</v>
      </c>
      <c r="B6" s="44">
        <f>Formation!B6</f>
        <v>1000000</v>
      </c>
      <c r="C6" s="72">
        <f>B6/$B$14</f>
        <v>0.5</v>
      </c>
      <c r="D6" s="73">
        <f>'Series Seed Preferred'!D6</f>
        <v>0</v>
      </c>
      <c r="E6" s="162">
        <f>SUM(B6,D6)</f>
        <v>1000000</v>
      </c>
      <c r="F6" s="212">
        <f>E6/$E$14</f>
        <v>0.3</v>
      </c>
      <c r="G6" s="69">
        <v>0</v>
      </c>
      <c r="H6" s="162">
        <f>SUM(E6,G6)</f>
        <v>1000000</v>
      </c>
      <c r="I6" s="95">
        <f t="shared" si="0"/>
        <v>0.10227272727272727</v>
      </c>
      <c r="L6" s="106"/>
    </row>
    <row r="7" spans="1:9" ht="15.75">
      <c r="A7" s="167" t="s">
        <v>47</v>
      </c>
      <c r="B7" s="44">
        <v>0</v>
      </c>
      <c r="C7" s="72">
        <f>B7/$B$14</f>
        <v>0</v>
      </c>
      <c r="D7" s="127">
        <f>'Series Seed Preferred'!D7</f>
        <v>833333.3333333334</v>
      </c>
      <c r="E7" s="162">
        <f>SUM(B7,D7)</f>
        <v>833333.3333333334</v>
      </c>
      <c r="F7" s="212">
        <f>E7/$E$14</f>
        <v>0.25</v>
      </c>
      <c r="G7" s="69">
        <v>0</v>
      </c>
      <c r="H7" s="162">
        <f>SUM(E7,G7)</f>
        <v>833333.3333333334</v>
      </c>
      <c r="I7" s="95">
        <f t="shared" si="0"/>
        <v>0.08522727272727273</v>
      </c>
    </row>
    <row r="8" spans="1:9" ht="15.75">
      <c r="A8" s="167" t="s">
        <v>216</v>
      </c>
      <c r="B8" s="44">
        <v>0</v>
      </c>
      <c r="C8" s="72">
        <f>B8/$B$14</f>
        <v>0</v>
      </c>
      <c r="D8" s="126">
        <v>0</v>
      </c>
      <c r="E8" s="162">
        <f>SUM(B8,D8)</f>
        <v>0</v>
      </c>
      <c r="F8" s="212">
        <f>E8/$E$14</f>
        <v>0</v>
      </c>
      <c r="G8" s="215">
        <f>D51</f>
        <v>3911111.111111111</v>
      </c>
      <c r="H8" s="162">
        <f>SUM(E8,G8)</f>
        <v>3911111.111111111</v>
      </c>
      <c r="I8" s="95">
        <f t="shared" si="0"/>
        <v>0.39999999999999997</v>
      </c>
    </row>
    <row r="9" spans="1:9" ht="31.5">
      <c r="A9" s="167" t="s">
        <v>217</v>
      </c>
      <c r="B9" s="44"/>
      <c r="C9" s="72"/>
      <c r="D9" s="126"/>
      <c r="E9" s="162"/>
      <c r="F9" s="212"/>
      <c r="G9" s="215">
        <f>D46</f>
        <v>977777.7777777778</v>
      </c>
      <c r="H9" s="162">
        <f>G9</f>
        <v>977777.7777777778</v>
      </c>
      <c r="I9" s="95">
        <f t="shared" si="0"/>
        <v>0.09999999999999999</v>
      </c>
    </row>
    <row r="10" spans="1:9" ht="15.75">
      <c r="A10" s="167" t="s">
        <v>209</v>
      </c>
      <c r="B10" s="44">
        <v>0</v>
      </c>
      <c r="C10" s="72">
        <f>B10/$B$14</f>
        <v>0</v>
      </c>
      <c r="D10" s="126">
        <v>0</v>
      </c>
      <c r="E10" s="162">
        <f>SUM(B10,D10)</f>
        <v>0</v>
      </c>
      <c r="F10" s="212">
        <f>E10/$E$14</f>
        <v>0</v>
      </c>
      <c r="G10" s="215"/>
      <c r="H10" s="162">
        <v>100000</v>
      </c>
      <c r="I10" s="95">
        <f t="shared" si="0"/>
        <v>0.010227272727272727</v>
      </c>
    </row>
    <row r="11" spans="1:9" ht="15.75">
      <c r="A11" s="166" t="s">
        <v>215</v>
      </c>
      <c r="B11" s="46">
        <f>Formation!B8</f>
        <v>0</v>
      </c>
      <c r="C11" s="84">
        <f>B11/$B$14</f>
        <v>0</v>
      </c>
      <c r="D11" s="126">
        <f>'Series Seed Preferred'!D9</f>
        <v>0</v>
      </c>
      <c r="E11" s="162">
        <v>500000</v>
      </c>
      <c r="F11" s="212">
        <f>E11/$E$14</f>
        <v>0.15</v>
      </c>
      <c r="G11" s="69">
        <v>0</v>
      </c>
      <c r="H11" s="162">
        <f>SUM(E11,G11)</f>
        <v>500000</v>
      </c>
      <c r="I11" s="95">
        <f t="shared" si="0"/>
        <v>0.05113636363636363</v>
      </c>
    </row>
    <row r="12" spans="1:9" ht="15.75">
      <c r="A12" s="169" t="s">
        <v>53</v>
      </c>
      <c r="B12" s="46">
        <v>0</v>
      </c>
      <c r="C12" s="84">
        <f>B12/$B$14</f>
        <v>0</v>
      </c>
      <c r="D12" s="170">
        <v>0</v>
      </c>
      <c r="E12" s="162">
        <f>SUM(B12,D12)</f>
        <v>0</v>
      </c>
      <c r="F12" s="212">
        <f>E12/$E$14</f>
        <v>0</v>
      </c>
      <c r="G12" s="216"/>
      <c r="H12" s="162">
        <f>D60</f>
        <v>1455555.5555555557</v>
      </c>
      <c r="I12" s="95">
        <f t="shared" si="0"/>
        <v>0.1488636363636364</v>
      </c>
    </row>
    <row r="13" spans="1:9" ht="16.5" thickBot="1">
      <c r="A13" s="168"/>
      <c r="B13" s="47"/>
      <c r="C13" s="86"/>
      <c r="D13" s="129"/>
      <c r="E13" s="163"/>
      <c r="F13" s="213"/>
      <c r="G13" s="54"/>
      <c r="H13" s="163"/>
      <c r="I13" s="100"/>
    </row>
    <row r="14" spans="1:9" ht="16.5" thickBot="1">
      <c r="A14" s="28" t="s">
        <v>3</v>
      </c>
      <c r="B14" s="32">
        <f aca="true" t="shared" si="1" ref="B14:I14">SUM(B5:B13)</f>
        <v>2000000</v>
      </c>
      <c r="C14" s="57">
        <f t="shared" si="1"/>
        <v>1</v>
      </c>
      <c r="D14" s="130">
        <f t="shared" si="1"/>
        <v>833333.3333333334</v>
      </c>
      <c r="E14" s="164">
        <f t="shared" si="1"/>
        <v>3333333.3333333335</v>
      </c>
      <c r="F14" s="214">
        <f t="shared" si="1"/>
        <v>1</v>
      </c>
      <c r="G14" s="56">
        <f t="shared" si="1"/>
        <v>4888888.888888889</v>
      </c>
      <c r="H14" s="164">
        <f t="shared" si="1"/>
        <v>9777777.777777778</v>
      </c>
      <c r="I14" s="110">
        <f t="shared" si="1"/>
        <v>1</v>
      </c>
    </row>
    <row r="15" ht="15.75">
      <c r="A15" s="29"/>
    </row>
    <row r="17" spans="1:3" ht="12.75">
      <c r="A17" s="98" t="s">
        <v>33</v>
      </c>
      <c r="C17" s="2"/>
    </row>
    <row r="18" spans="1:3" ht="12.75">
      <c r="A18" s="98"/>
      <c r="C18" s="2"/>
    </row>
    <row r="19" spans="1:15" ht="12.75">
      <c r="A19" s="97" t="s">
        <v>34</v>
      </c>
      <c r="F19" s="115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1:15" ht="12.75">
      <c r="A20" s="2" t="s">
        <v>96</v>
      </c>
      <c r="D20" s="176">
        <f>'Series Seed Preferred'!F12</f>
        <v>1</v>
      </c>
      <c r="E20" s="172"/>
      <c r="F20" s="117"/>
      <c r="G20" s="116"/>
      <c r="H20" s="116"/>
      <c r="I20" s="116"/>
      <c r="J20" s="116"/>
      <c r="K20" s="116"/>
      <c r="L20" s="116"/>
      <c r="M20" s="116"/>
      <c r="N20" s="116"/>
      <c r="O20" s="116"/>
    </row>
    <row r="21" spans="1:15" ht="12.75">
      <c r="A21" s="2" t="s">
        <v>57</v>
      </c>
      <c r="D21" s="176">
        <f>'Final Fully Diluted'!J13</f>
        <v>0.5</v>
      </c>
      <c r="E21" s="172"/>
      <c r="F21" s="117"/>
      <c r="G21" s="116"/>
      <c r="H21" s="116"/>
      <c r="I21" s="116"/>
      <c r="J21" s="116"/>
      <c r="K21" s="116"/>
      <c r="L21" s="116"/>
      <c r="M21" s="116"/>
      <c r="N21" s="116"/>
      <c r="O21" s="116"/>
    </row>
    <row r="22" spans="1:15" ht="12.75">
      <c r="A22" s="2" t="s">
        <v>44</v>
      </c>
      <c r="D22" s="178">
        <f>D20-D21</f>
        <v>0.5</v>
      </c>
      <c r="E22" s="173"/>
      <c r="F22" s="2"/>
      <c r="G22" s="119"/>
      <c r="H22" s="120"/>
      <c r="I22" s="119"/>
      <c r="J22" s="113"/>
      <c r="K22" s="119"/>
      <c r="L22" s="112"/>
      <c r="M22" s="116"/>
      <c r="N22" s="116"/>
      <c r="O22" s="116"/>
    </row>
    <row r="23" spans="1:15" ht="12.75">
      <c r="A23" s="111" t="s">
        <v>45</v>
      </c>
      <c r="D23" s="182">
        <f>'Final Fully Diluted'!J10</f>
        <v>0.2</v>
      </c>
      <c r="E23" s="173"/>
      <c r="G23" s="119"/>
      <c r="H23" s="120"/>
      <c r="I23" s="119"/>
      <c r="J23" s="113"/>
      <c r="K23" s="119"/>
      <c r="L23" s="112"/>
      <c r="M23" s="116"/>
      <c r="N23" s="116"/>
      <c r="O23" s="116"/>
    </row>
    <row r="24" spans="1:15" ht="12.75">
      <c r="A24" s="111"/>
      <c r="D24" s="182"/>
      <c r="E24" s="173"/>
      <c r="G24" s="119"/>
      <c r="H24" s="120"/>
      <c r="I24" s="119"/>
      <c r="J24" s="113"/>
      <c r="K24" s="119"/>
      <c r="L24" s="112"/>
      <c r="M24" s="116"/>
      <c r="N24" s="116"/>
      <c r="O24" s="116"/>
    </row>
    <row r="25" spans="1:15" ht="13.5" thickBot="1">
      <c r="A25" s="2" t="s">
        <v>69</v>
      </c>
      <c r="D25" s="177">
        <f>D22-D23</f>
        <v>0.3</v>
      </c>
      <c r="E25" s="174"/>
      <c r="F25" s="180"/>
      <c r="G25" s="119"/>
      <c r="H25" s="120"/>
      <c r="I25" s="119"/>
      <c r="J25" s="113"/>
      <c r="K25" s="119"/>
      <c r="L25" s="113"/>
      <c r="M25" s="116"/>
      <c r="N25" s="116"/>
      <c r="O25" s="116"/>
    </row>
    <row r="26" spans="1:15" ht="13.5" thickTop="1">
      <c r="A26" s="2"/>
      <c r="D26" s="132"/>
      <c r="F26" s="118"/>
      <c r="G26" s="119"/>
      <c r="H26" s="120"/>
      <c r="I26" s="119"/>
      <c r="J26" s="113"/>
      <c r="K26" s="119"/>
      <c r="L26" s="113"/>
      <c r="M26" s="116"/>
      <c r="N26" s="116"/>
      <c r="O26" s="116"/>
    </row>
    <row r="27" spans="1:15" ht="12.75">
      <c r="A27" s="97" t="s">
        <v>35</v>
      </c>
      <c r="D27" s="2"/>
      <c r="F27" s="115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 ht="12.75">
      <c r="A28" s="2" t="s">
        <v>54</v>
      </c>
      <c r="D28" s="133">
        <f>B5</f>
        <v>1000000</v>
      </c>
      <c r="F28" s="117"/>
      <c r="G28" s="116"/>
      <c r="H28" s="116"/>
      <c r="I28" s="116"/>
      <c r="J28" s="116"/>
      <c r="K28" s="116"/>
      <c r="L28" s="116"/>
      <c r="M28" s="116"/>
      <c r="N28" s="116"/>
      <c r="O28" s="116"/>
    </row>
    <row r="29" spans="1:15" ht="12.75">
      <c r="A29" s="2" t="s">
        <v>55</v>
      </c>
      <c r="D29" s="133">
        <f>B6</f>
        <v>1000000</v>
      </c>
      <c r="F29" s="117"/>
      <c r="G29" s="116"/>
      <c r="H29" s="116"/>
      <c r="I29" s="116"/>
      <c r="J29" s="116"/>
      <c r="K29" s="116"/>
      <c r="L29" s="116"/>
      <c r="M29" s="116"/>
      <c r="N29" s="116"/>
      <c r="O29" s="116"/>
    </row>
    <row r="30" spans="1:15" ht="12.75">
      <c r="A30" s="2" t="s">
        <v>59</v>
      </c>
      <c r="D30" s="133">
        <f>D7</f>
        <v>833333.3333333334</v>
      </c>
      <c r="F30" s="117"/>
      <c r="G30" s="116"/>
      <c r="H30" s="116"/>
      <c r="I30" s="116"/>
      <c r="J30" s="116"/>
      <c r="K30" s="116"/>
      <c r="L30" s="116"/>
      <c r="M30" s="116"/>
      <c r="N30" s="116"/>
      <c r="O30" s="116"/>
    </row>
    <row r="31" spans="1:15" ht="12.75">
      <c r="A31" s="2" t="s">
        <v>209</v>
      </c>
      <c r="D31" s="133">
        <v>100000</v>
      </c>
      <c r="F31" s="121"/>
      <c r="G31" s="119"/>
      <c r="H31" s="122"/>
      <c r="I31" s="119"/>
      <c r="J31" s="122"/>
      <c r="K31" s="123"/>
      <c r="L31" s="120"/>
      <c r="M31" s="119"/>
      <c r="N31" s="107"/>
      <c r="O31" s="116"/>
    </row>
    <row r="32" spans="1:15" ht="12.75">
      <c r="A32" s="2" t="s">
        <v>90</v>
      </c>
      <c r="D32" s="134">
        <f>SUM(D28:D31)</f>
        <v>2933333.3333333335</v>
      </c>
      <c r="F32" s="121"/>
      <c r="G32" s="119"/>
      <c r="H32" s="122"/>
      <c r="I32" s="119"/>
      <c r="J32" s="122"/>
      <c r="K32" s="123"/>
      <c r="L32" s="120"/>
      <c r="M32" s="119"/>
      <c r="N32" s="107"/>
      <c r="O32" s="116"/>
    </row>
    <row r="33" spans="1:15" ht="12.75">
      <c r="A33" s="2" t="s">
        <v>80</v>
      </c>
      <c r="D33" s="181">
        <f>D25</f>
        <v>0.3</v>
      </c>
      <c r="E33" s="174"/>
      <c r="F33" s="175"/>
      <c r="G33" s="175"/>
      <c r="H33" s="175"/>
      <c r="I33" s="120"/>
      <c r="J33" s="119"/>
      <c r="K33" s="107"/>
      <c r="L33" s="116"/>
      <c r="M33" s="116"/>
      <c r="N33" s="116"/>
      <c r="O33" s="116"/>
    </row>
    <row r="34" spans="1:15" ht="12.75">
      <c r="A34" s="2"/>
      <c r="D34" s="181"/>
      <c r="E34" s="174"/>
      <c r="F34" s="175"/>
      <c r="G34" s="175"/>
      <c r="H34" s="175"/>
      <c r="I34" s="120"/>
      <c r="J34" s="119"/>
      <c r="K34" s="107"/>
      <c r="L34" s="116"/>
      <c r="M34" s="116"/>
      <c r="N34" s="116"/>
      <c r="O34" s="116"/>
    </row>
    <row r="35" spans="1:11" ht="13.5" thickBot="1">
      <c r="A35" s="97" t="s">
        <v>56</v>
      </c>
      <c r="D35" s="160">
        <f>D32/D33</f>
        <v>9777777.777777778</v>
      </c>
      <c r="E35" s="104"/>
      <c r="F35" s="99"/>
      <c r="G35" s="104"/>
      <c r="H35" s="105"/>
      <c r="I35" s="103"/>
      <c r="J35" s="99"/>
      <c r="K35" s="107"/>
    </row>
    <row r="36" spans="1:11" ht="13.5" thickTop="1">
      <c r="A36" s="97"/>
      <c r="D36" s="136"/>
      <c r="E36" s="104"/>
      <c r="F36" s="99"/>
      <c r="G36" s="104"/>
      <c r="H36" s="105"/>
      <c r="I36" s="103"/>
      <c r="J36" s="99"/>
      <c r="K36" s="107"/>
    </row>
    <row r="37" spans="1:4" ht="12.75">
      <c r="A37" s="98" t="s">
        <v>51</v>
      </c>
      <c r="D37" s="2"/>
    </row>
    <row r="38" spans="1:4" ht="12.75">
      <c r="A38" s="98"/>
      <c r="D38" s="2"/>
    </row>
    <row r="39" spans="1:11" ht="12.75">
      <c r="A39" s="2" t="s">
        <v>85</v>
      </c>
      <c r="D39" s="133">
        <f>D35</f>
        <v>9777777.777777778</v>
      </c>
      <c r="G39" s="117"/>
      <c r="H39" s="116"/>
      <c r="I39" s="116"/>
      <c r="J39" s="116"/>
      <c r="K39" s="116"/>
    </row>
    <row r="40" spans="1:11" ht="12.75">
      <c r="A40" s="2" t="s">
        <v>52</v>
      </c>
      <c r="D40" s="137">
        <f>D21</f>
        <v>0.5</v>
      </c>
      <c r="G40" s="121"/>
      <c r="H40" s="119"/>
      <c r="I40" s="120"/>
      <c r="J40" s="119"/>
      <c r="K40" s="108"/>
    </row>
    <row r="41" spans="1:11" ht="12.75">
      <c r="A41" s="2"/>
      <c r="D41" s="137"/>
      <c r="G41" s="121"/>
      <c r="H41" s="119"/>
      <c r="I41" s="120"/>
      <c r="J41" s="119"/>
      <c r="K41" s="108"/>
    </row>
    <row r="42" spans="1:11" ht="13.5" thickBot="1">
      <c r="A42" s="97" t="s">
        <v>86</v>
      </c>
      <c r="B42" s="97"/>
      <c r="C42" s="97"/>
      <c r="D42" s="160">
        <f>D39*D40</f>
        <v>4888888.888888889</v>
      </c>
      <c r="E42" s="103"/>
      <c r="F42" s="99"/>
      <c r="G42" s="108"/>
      <c r="H42" s="116"/>
      <c r="I42" s="116"/>
      <c r="J42" s="116"/>
      <c r="K42" s="116"/>
    </row>
    <row r="43" spans="1:11" ht="13.5" thickTop="1">
      <c r="A43" s="2" t="s">
        <v>204</v>
      </c>
      <c r="B43" s="97"/>
      <c r="C43" s="97"/>
      <c r="D43" s="273"/>
      <c r="E43" s="103"/>
      <c r="F43" s="99"/>
      <c r="G43" s="108"/>
      <c r="H43" s="116"/>
      <c r="I43" s="116"/>
      <c r="J43" s="116"/>
      <c r="K43" s="116"/>
    </row>
    <row r="44" spans="1:11" ht="12.75">
      <c r="A44" s="2" t="s">
        <v>206</v>
      </c>
      <c r="B44" s="97"/>
      <c r="C44" s="97"/>
      <c r="D44" s="353">
        <f>'Final Fully Diluted'!J7</f>
        <v>2000000</v>
      </c>
      <c r="E44" s="103"/>
      <c r="F44" s="99"/>
      <c r="G44" s="108"/>
      <c r="H44" s="116"/>
      <c r="I44" s="116"/>
      <c r="J44" s="116"/>
      <c r="K44" s="116"/>
    </row>
    <row r="45" spans="1:11" ht="12.75">
      <c r="A45" s="2" t="s">
        <v>213</v>
      </c>
      <c r="B45" s="97"/>
      <c r="C45" s="97"/>
      <c r="D45" s="352">
        <f>'Final Fully Diluted'!J12</f>
        <v>2.0454545454545454</v>
      </c>
      <c r="E45" s="103"/>
      <c r="F45" s="99"/>
      <c r="G45" s="108"/>
      <c r="H45" s="116"/>
      <c r="I45" s="116"/>
      <c r="J45" s="116"/>
      <c r="K45" s="116"/>
    </row>
    <row r="46" spans="1:11" ht="12.75">
      <c r="A46" s="2" t="s">
        <v>202</v>
      </c>
      <c r="B46" s="97"/>
      <c r="C46" s="97"/>
      <c r="D46" s="191">
        <f>D44/D45</f>
        <v>977777.7777777778</v>
      </c>
      <c r="E46" s="103"/>
      <c r="F46" s="99"/>
      <c r="G46" s="108"/>
      <c r="H46" s="116"/>
      <c r="I46" s="116"/>
      <c r="J46" s="116"/>
      <c r="K46" s="116"/>
    </row>
    <row r="47" spans="1:11" ht="12.75">
      <c r="A47" s="2"/>
      <c r="B47" s="97"/>
      <c r="C47" s="97"/>
      <c r="D47" s="352"/>
      <c r="E47" s="103"/>
      <c r="F47" s="99"/>
      <c r="G47" s="108"/>
      <c r="H47" s="116"/>
      <c r="I47" s="116"/>
      <c r="J47" s="116"/>
      <c r="K47" s="116"/>
    </row>
    <row r="48" spans="1:11" ht="12.75">
      <c r="A48" s="2" t="s">
        <v>205</v>
      </c>
      <c r="B48" s="97"/>
      <c r="C48" s="97"/>
      <c r="D48" s="280"/>
      <c r="E48" s="103"/>
      <c r="F48" s="99"/>
      <c r="G48" s="108"/>
      <c r="H48" s="116"/>
      <c r="I48" s="116"/>
      <c r="J48" s="116"/>
      <c r="K48" s="116"/>
    </row>
    <row r="49" spans="1:11" ht="12.75">
      <c r="A49" s="2" t="s">
        <v>208</v>
      </c>
      <c r="B49" s="97"/>
      <c r="C49" s="97"/>
      <c r="D49" s="353">
        <f>'Final Fully Diluted'!J6</f>
        <v>8000000</v>
      </c>
      <c r="E49" s="103"/>
      <c r="F49" s="99"/>
      <c r="G49" s="108"/>
      <c r="H49" s="116"/>
      <c r="I49" s="116"/>
      <c r="J49" s="116"/>
      <c r="K49" s="116"/>
    </row>
    <row r="50" spans="1:11" ht="12.75">
      <c r="A50" s="2" t="s">
        <v>207</v>
      </c>
      <c r="B50" s="97"/>
      <c r="C50" s="97"/>
      <c r="D50" s="352">
        <f>'Final Fully Diluted'!J12</f>
        <v>2.0454545454545454</v>
      </c>
      <c r="E50" s="103"/>
      <c r="F50" s="99"/>
      <c r="G50" s="108"/>
      <c r="H50" s="116"/>
      <c r="I50" s="116"/>
      <c r="J50" s="116"/>
      <c r="K50" s="116"/>
    </row>
    <row r="51" spans="1:11" ht="12.75">
      <c r="A51" s="2" t="s">
        <v>203</v>
      </c>
      <c r="B51" s="97"/>
      <c r="C51" s="97"/>
      <c r="D51" s="134">
        <f>D49/D50</f>
        <v>3911111.111111111</v>
      </c>
      <c r="E51" s="103"/>
      <c r="F51" s="99"/>
      <c r="G51" s="108"/>
      <c r="H51" s="116"/>
      <c r="I51" s="116"/>
      <c r="J51" s="116"/>
      <c r="K51" s="116"/>
    </row>
    <row r="52" spans="4:11" ht="12.75">
      <c r="D52" s="124"/>
      <c r="E52" s="103"/>
      <c r="F52" s="99"/>
      <c r="G52" s="108"/>
      <c r="H52" s="116"/>
      <c r="I52" s="116"/>
      <c r="J52" s="116"/>
      <c r="K52" s="116"/>
    </row>
    <row r="53" spans="1:11" ht="12.75">
      <c r="A53" s="98" t="s">
        <v>60</v>
      </c>
      <c r="F53" s="2"/>
      <c r="G53" s="116"/>
      <c r="H53" s="116"/>
      <c r="I53" s="116"/>
      <c r="J53" s="116"/>
      <c r="K53" s="116"/>
    </row>
    <row r="54" spans="1:11" ht="12.75">
      <c r="A54" s="98"/>
      <c r="G54" s="116"/>
      <c r="H54" s="116"/>
      <c r="I54" s="116"/>
      <c r="J54" s="116"/>
      <c r="K54" s="116"/>
    </row>
    <row r="55" spans="1:11" ht="12.75">
      <c r="A55" s="2" t="s">
        <v>85</v>
      </c>
      <c r="D55" s="92">
        <f>D35</f>
        <v>9777777.777777778</v>
      </c>
      <c r="G55" s="117"/>
      <c r="H55" s="116"/>
      <c r="I55" s="116"/>
      <c r="J55" s="116"/>
      <c r="K55" s="116"/>
    </row>
    <row r="56" spans="1:11" ht="12.75">
      <c r="A56" s="2" t="s">
        <v>87</v>
      </c>
      <c r="D56" s="102">
        <f>D23</f>
        <v>0.2</v>
      </c>
      <c r="G56" s="121"/>
      <c r="H56" s="119"/>
      <c r="I56" s="120"/>
      <c r="J56" s="119"/>
      <c r="K56" s="108"/>
    </row>
    <row r="57" spans="1:11" ht="12.75">
      <c r="A57" s="2" t="s">
        <v>70</v>
      </c>
      <c r="D57" s="191">
        <f>D55*D56</f>
        <v>1955555.5555555557</v>
      </c>
      <c r="G57" s="121"/>
      <c r="H57" s="119"/>
      <c r="I57" s="120"/>
      <c r="J57" s="119"/>
      <c r="K57" s="108"/>
    </row>
    <row r="58" spans="1:11" ht="12.75">
      <c r="A58" s="111" t="s">
        <v>78</v>
      </c>
      <c r="D58" s="91">
        <v>500000</v>
      </c>
      <c r="G58" s="121"/>
      <c r="H58" s="119"/>
      <c r="I58" s="120"/>
      <c r="J58" s="119"/>
      <c r="K58" s="108"/>
    </row>
    <row r="59" spans="1:11" ht="12.75">
      <c r="A59" s="97"/>
      <c r="B59" s="97"/>
      <c r="C59" s="97"/>
      <c r="D59" s="124"/>
      <c r="G59" s="116"/>
      <c r="H59" s="116"/>
      <c r="I59" s="116"/>
      <c r="J59" s="116"/>
      <c r="K59" s="116"/>
    </row>
    <row r="60" spans="1:4" ht="13.5" thickBot="1">
      <c r="A60" s="97" t="s">
        <v>71</v>
      </c>
      <c r="D60" s="160">
        <f>D57-D58</f>
        <v>1455555.5555555557</v>
      </c>
    </row>
    <row r="61" ht="13.5" thickTop="1"/>
    <row r="62" ht="12.75">
      <c r="A62" s="98" t="s">
        <v>72</v>
      </c>
    </row>
    <row r="63" spans="1:3" ht="12.75">
      <c r="A63" s="2"/>
      <c r="C63" s="91"/>
    </row>
    <row r="64" spans="1:4" ht="12.75">
      <c r="A64" s="2" t="s">
        <v>73</v>
      </c>
      <c r="D64" s="92">
        <f>E11</f>
        <v>500000</v>
      </c>
    </row>
    <row r="65" spans="1:4" ht="12.75">
      <c r="A65" s="2" t="s">
        <v>79</v>
      </c>
      <c r="C65" s="92"/>
      <c r="D65" s="92">
        <f>D60</f>
        <v>1455555.5555555557</v>
      </c>
    </row>
    <row r="67" spans="1:4" ht="13.5" thickBot="1">
      <c r="A67" s="2" t="s">
        <v>74</v>
      </c>
      <c r="D67" s="183">
        <f>SUM(D64:D66)</f>
        <v>1955555.5555555557</v>
      </c>
    </row>
    <row r="68" ht="13.5" thickTop="1"/>
    <row r="69" spans="1:4" ht="13.5" thickBot="1">
      <c r="A69" s="97" t="s">
        <v>75</v>
      </c>
      <c r="D69" s="192">
        <f>D67/H14</f>
        <v>0.2</v>
      </c>
    </row>
    <row r="70" ht="13.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&amp;L&amp;"Arial,Regular"&amp;8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5"/>
  <sheetViews>
    <sheetView zoomScale="120" zoomScaleNormal="120" zoomScalePageLayoutView="0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M10" sqref="M10"/>
    </sheetView>
  </sheetViews>
  <sheetFormatPr defaultColWidth="9.140625" defaultRowHeight="12.75"/>
  <cols>
    <col min="1" max="1" width="47.00390625" style="0" customWidth="1"/>
    <col min="2" max="2" width="13.28125" style="0" customWidth="1"/>
    <col min="3" max="3" width="15.7109375" style="0" customWidth="1"/>
    <col min="4" max="4" width="15.28125" style="0" customWidth="1"/>
    <col min="5" max="5" width="13.57421875" style="0" customWidth="1"/>
    <col min="6" max="6" width="11.7109375" style="0" customWidth="1"/>
    <col min="7" max="7" width="15.7109375" style="0" bestFit="1" customWidth="1"/>
    <col min="8" max="8" width="15.140625" style="0" customWidth="1"/>
    <col min="9" max="9" width="12.8515625" style="0" bestFit="1" customWidth="1"/>
    <col min="10" max="10" width="13.28125" style="0" customWidth="1"/>
    <col min="11" max="11" width="20.140625" style="0" customWidth="1"/>
    <col min="12" max="12" width="13.28125" style="0" customWidth="1"/>
    <col min="13" max="13" width="11.28125" style="0" customWidth="1"/>
  </cols>
  <sheetData>
    <row r="1" spans="1:4" ht="15.75">
      <c r="A1" s="187" t="s">
        <v>81</v>
      </c>
      <c r="B1" s="188"/>
      <c r="C1" s="207"/>
      <c r="D1" s="77"/>
    </row>
    <row r="2" spans="1:3" ht="12.75">
      <c r="A2" s="3" t="s">
        <v>9</v>
      </c>
      <c r="B2" s="4">
        <f ca="1">TODAY()</f>
        <v>42627</v>
      </c>
      <c r="C2" s="1"/>
    </row>
    <row r="3" ht="13.5" thickBot="1"/>
    <row r="4" spans="1:12" ht="48" thickBot="1">
      <c r="A4" s="61" t="s">
        <v>22</v>
      </c>
      <c r="B4" s="49" t="s">
        <v>20</v>
      </c>
      <c r="C4" s="50" t="s">
        <v>7</v>
      </c>
      <c r="D4" s="141" t="s">
        <v>30</v>
      </c>
      <c r="E4" s="142" t="s">
        <v>23</v>
      </c>
      <c r="F4" s="210" t="s">
        <v>41</v>
      </c>
      <c r="G4" s="53" t="s">
        <v>31</v>
      </c>
      <c r="H4" s="142" t="s">
        <v>23</v>
      </c>
      <c r="I4" s="210" t="s">
        <v>41</v>
      </c>
      <c r="J4" s="153" t="s">
        <v>32</v>
      </c>
      <c r="K4" s="221" t="s">
        <v>23</v>
      </c>
      <c r="L4" s="222" t="s">
        <v>41</v>
      </c>
    </row>
    <row r="5" spans="1:12" ht="15.75">
      <c r="A5" s="165" t="s">
        <v>15</v>
      </c>
      <c r="B5" s="43">
        <f>Formation!B5</f>
        <v>1000000</v>
      </c>
      <c r="C5" s="70">
        <f>B5/$B$18</f>
        <v>0.5</v>
      </c>
      <c r="D5" s="125">
        <v>0</v>
      </c>
      <c r="E5" s="161">
        <f>SUM(B5,D5)</f>
        <v>1000000</v>
      </c>
      <c r="F5" s="211">
        <f>E5/$E$18</f>
        <v>0.3</v>
      </c>
      <c r="G5" s="68">
        <f>'Series A Preferred'!G5</f>
        <v>0</v>
      </c>
      <c r="H5" s="161">
        <f>SUM(E5,G5)</f>
        <v>1000000</v>
      </c>
      <c r="I5" s="211">
        <f>H5/$H$18</f>
        <v>0.10227272727272727</v>
      </c>
      <c r="J5" s="68">
        <v>0</v>
      </c>
      <c r="K5" s="161">
        <f>SUM(H5,J5)</f>
        <v>1000000</v>
      </c>
      <c r="L5" s="94">
        <f>K5/$K$18</f>
        <v>0.03879506045688302</v>
      </c>
    </row>
    <row r="6" spans="1:12" ht="15.75">
      <c r="A6" s="166" t="s">
        <v>16</v>
      </c>
      <c r="B6" s="44">
        <f>Formation!B6</f>
        <v>1000000</v>
      </c>
      <c r="C6" s="72">
        <f>B6/$B$18</f>
        <v>0.5</v>
      </c>
      <c r="D6" s="126">
        <v>0</v>
      </c>
      <c r="E6" s="162">
        <f>SUM(B6,D6)</f>
        <v>1000000</v>
      </c>
      <c r="F6" s="212">
        <f>E6/$E$18</f>
        <v>0.3</v>
      </c>
      <c r="G6" s="69">
        <f>'Series A Preferred'!G6</f>
        <v>0</v>
      </c>
      <c r="H6" s="162">
        <f>SUM(E6,G6)</f>
        <v>1000000</v>
      </c>
      <c r="I6" s="212">
        <f>H6/$H$18</f>
        <v>0.10227272727272727</v>
      </c>
      <c r="J6" s="69">
        <v>0</v>
      </c>
      <c r="K6" s="162">
        <f>SUM(H6,J6)</f>
        <v>1000000</v>
      </c>
      <c r="L6" s="95">
        <f>K6/$K$18</f>
        <v>0.03879506045688302</v>
      </c>
    </row>
    <row r="7" spans="1:12" ht="15.75">
      <c r="A7" s="167" t="s">
        <v>47</v>
      </c>
      <c r="B7" s="44">
        <v>0</v>
      </c>
      <c r="C7" s="72">
        <f>B7/$B$18</f>
        <v>0</v>
      </c>
      <c r="D7" s="127">
        <f>'Series Seed Preferred'!D7</f>
        <v>833333.3333333334</v>
      </c>
      <c r="E7" s="162">
        <f>SUM(B7,D7)</f>
        <v>833333.3333333334</v>
      </c>
      <c r="F7" s="212">
        <f>E7/$E$18</f>
        <v>0.25</v>
      </c>
      <c r="G7" s="69">
        <f>'Series A Preferred'!G7</f>
        <v>0</v>
      </c>
      <c r="H7" s="162">
        <f>SUM(E7,G7)</f>
        <v>833333.3333333334</v>
      </c>
      <c r="I7" s="212">
        <f>H7/$H$18</f>
        <v>0.08522727272727273</v>
      </c>
      <c r="J7" s="69">
        <v>0</v>
      </c>
      <c r="K7" s="162">
        <f>SUM(H7,J7)</f>
        <v>833333.3333333334</v>
      </c>
      <c r="L7" s="95">
        <f>K7/$K$18</f>
        <v>0.03232921704740251</v>
      </c>
    </row>
    <row r="8" spans="1:12" ht="15.75">
      <c r="A8" s="167" t="s">
        <v>50</v>
      </c>
      <c r="B8" s="44">
        <v>0</v>
      </c>
      <c r="C8" s="72">
        <f>B8/$B$18</f>
        <v>0</v>
      </c>
      <c r="D8" s="126">
        <v>0</v>
      </c>
      <c r="E8" s="162">
        <f>SUM(B8,D8)</f>
        <v>0</v>
      </c>
      <c r="F8" s="212">
        <f>E8/$E$18</f>
        <v>0</v>
      </c>
      <c r="G8" s="215">
        <f>'Series A Preferred'!G14</f>
        <v>4888888.888888889</v>
      </c>
      <c r="H8" s="162">
        <f>SUM(E8,G8)</f>
        <v>4888888.888888889</v>
      </c>
      <c r="I8" s="212">
        <f>H8/$H$18</f>
        <v>0.5</v>
      </c>
      <c r="J8" s="215">
        <v>0</v>
      </c>
      <c r="K8" s="162">
        <f>SUM(H8,J8)</f>
        <v>4888888.888888889</v>
      </c>
      <c r="L8" s="95">
        <f>K8/$K$18</f>
        <v>0.18966474001142808</v>
      </c>
    </row>
    <row r="9" spans="1:13" ht="15.75">
      <c r="A9" s="167" t="s">
        <v>110</v>
      </c>
      <c r="B9" s="44">
        <v>0</v>
      </c>
      <c r="C9" s="72">
        <f>B9/$B$18</f>
        <v>0</v>
      </c>
      <c r="D9" s="126">
        <v>0</v>
      </c>
      <c r="E9" s="162">
        <f>SUM(B9,D9)</f>
        <v>0</v>
      </c>
      <c r="F9" s="212">
        <f>E9/$E$18</f>
        <v>0</v>
      </c>
      <c r="G9" s="215">
        <v>0</v>
      </c>
      <c r="H9" s="162">
        <f>SUM(E9,G9)</f>
        <v>0</v>
      </c>
      <c r="I9" s="212">
        <f>H9/$H$18</f>
        <v>0</v>
      </c>
      <c r="J9" s="215">
        <f>D101</f>
        <v>1199544.8759110933</v>
      </c>
      <c r="K9" s="162">
        <f>SUM(H9,J9)</f>
        <v>1199544.8759110933</v>
      </c>
      <c r="L9" s="95">
        <f>K9/$K$18</f>
        <v>0.0465364159817151</v>
      </c>
      <c r="M9" s="92">
        <f>K8+K9</f>
        <v>6088433.764799982</v>
      </c>
    </row>
    <row r="10" spans="1:12" ht="15.75">
      <c r="A10" s="167"/>
      <c r="B10" s="44"/>
      <c r="C10" s="84"/>
      <c r="D10" s="126"/>
      <c r="E10" s="162"/>
      <c r="F10" s="212"/>
      <c r="G10" s="215"/>
      <c r="H10" s="162"/>
      <c r="I10" s="212"/>
      <c r="J10" s="215"/>
      <c r="K10" s="162"/>
      <c r="L10" s="95"/>
    </row>
    <row r="11" spans="1:12" ht="15.75">
      <c r="A11" s="167" t="s">
        <v>82</v>
      </c>
      <c r="B11" s="44">
        <v>0</v>
      </c>
      <c r="C11" s="72">
        <f>B11/$B$18</f>
        <v>0</v>
      </c>
      <c r="D11" s="209">
        <v>0</v>
      </c>
      <c r="E11" s="162">
        <f>SUM(B11,D11)</f>
        <v>0</v>
      </c>
      <c r="F11" s="212"/>
      <c r="G11" s="215">
        <v>0</v>
      </c>
      <c r="H11" s="162">
        <f>SUM(E11,G11)</f>
        <v>0</v>
      </c>
      <c r="I11" s="212">
        <f>H11/$H$18</f>
        <v>0</v>
      </c>
      <c r="J11" s="215">
        <f>D48</f>
        <v>11174603.174603175</v>
      </c>
      <c r="K11" s="162">
        <f>SUM(H11,J11)</f>
        <v>11174603.174603175</v>
      </c>
      <c r="L11" s="95">
        <f>K11/$K$18</f>
        <v>0.43351940574040704</v>
      </c>
    </row>
    <row r="12" spans="1:12" ht="15.75">
      <c r="A12" s="190" t="s">
        <v>113</v>
      </c>
      <c r="B12" s="44">
        <v>0</v>
      </c>
      <c r="C12" s="72">
        <f>B12/$B$18</f>
        <v>0</v>
      </c>
      <c r="D12" s="209">
        <v>0</v>
      </c>
      <c r="E12" s="162">
        <f>SUM(B12,D12)</f>
        <v>0</v>
      </c>
      <c r="F12" s="212"/>
      <c r="G12" s="215">
        <v>0</v>
      </c>
      <c r="H12" s="162">
        <f>SUM(E12,G12)</f>
        <v>0</v>
      </c>
      <c r="I12" s="212">
        <f>H12/$H$18</f>
        <v>0</v>
      </c>
      <c r="J12" s="215">
        <f>D113</f>
        <v>1713635.537015846</v>
      </c>
      <c r="K12" s="162">
        <f>SUM(H12,J12)</f>
        <v>1713635.537015846</v>
      </c>
      <c r="L12" s="95">
        <f>K12/$K$18</f>
        <v>0.06648059425959293</v>
      </c>
    </row>
    <row r="13" spans="1:12" ht="15.75">
      <c r="A13" s="190"/>
      <c r="B13" s="44"/>
      <c r="C13" s="84"/>
      <c r="D13" s="354"/>
      <c r="E13" s="162"/>
      <c r="F13" s="212"/>
      <c r="G13" s="215"/>
      <c r="H13" s="162"/>
      <c r="I13" s="212"/>
      <c r="J13" s="215"/>
      <c r="K13" s="162"/>
      <c r="L13" s="95"/>
    </row>
    <row r="14" spans="1:12" ht="15.75">
      <c r="A14" s="167" t="s">
        <v>209</v>
      </c>
      <c r="B14" s="44">
        <v>0</v>
      </c>
      <c r="C14" s="84">
        <f>B14/$B$18</f>
        <v>0</v>
      </c>
      <c r="D14" s="128">
        <v>0</v>
      </c>
      <c r="E14" s="162">
        <f>SUM(B14,D14)</f>
        <v>0</v>
      </c>
      <c r="F14" s="212">
        <f>E14/$E$18</f>
        <v>0</v>
      </c>
      <c r="G14" s="215">
        <f>'Series A Preferred'!H10</f>
        <v>100000</v>
      </c>
      <c r="H14" s="162">
        <f>SUM(E14,G14)</f>
        <v>100000</v>
      </c>
      <c r="I14" s="212">
        <f>H14/$H$18</f>
        <v>0.010227272727272727</v>
      </c>
      <c r="J14" s="215">
        <v>0</v>
      </c>
      <c r="K14" s="162">
        <f>SUM(H14,J14)</f>
        <v>100000</v>
      </c>
      <c r="L14" s="95">
        <f>K14/$K$18</f>
        <v>0.0038795060456883017</v>
      </c>
    </row>
    <row r="15" spans="1:12" ht="15.75">
      <c r="A15" s="166" t="s">
        <v>112</v>
      </c>
      <c r="B15" s="46">
        <v>0</v>
      </c>
      <c r="C15" s="84">
        <f>B15/$B$18</f>
        <v>0</v>
      </c>
      <c r="D15" s="127">
        <f>'Series Seed Preferred'!E9</f>
        <v>500000</v>
      </c>
      <c r="E15" s="162">
        <f>SUM(B15,D15)</f>
        <v>500000</v>
      </c>
      <c r="F15" s="212">
        <f>E15/$E$18</f>
        <v>0.15</v>
      </c>
      <c r="G15" s="215">
        <f>'Series A Preferred'!D67</f>
        <v>1955555.5555555557</v>
      </c>
      <c r="H15" s="162">
        <f>G15</f>
        <v>1955555.5555555557</v>
      </c>
      <c r="I15" s="212">
        <f>H15/$H$18</f>
        <v>0.2</v>
      </c>
      <c r="J15" s="69">
        <v>0</v>
      </c>
      <c r="K15" s="162">
        <f>SUM(H15,H16)</f>
        <v>1955555.5555555557</v>
      </c>
      <c r="L15" s="95">
        <f>K15/$K$18</f>
        <v>0.07586589600457123</v>
      </c>
    </row>
    <row r="16" spans="1:12" ht="15.75">
      <c r="A16" s="169" t="s">
        <v>53</v>
      </c>
      <c r="B16" s="46">
        <v>0</v>
      </c>
      <c r="C16" s="84">
        <f>B16/$B$18</f>
        <v>0</v>
      </c>
      <c r="D16" s="73">
        <v>0</v>
      </c>
      <c r="E16" s="162">
        <f>SUM(B16,D16)</f>
        <v>0</v>
      </c>
      <c r="F16" s="212">
        <f>E16/$E$18</f>
        <v>0</v>
      </c>
      <c r="G16" s="73">
        <f>'Series A Preferred'!G12</f>
        <v>0</v>
      </c>
      <c r="H16" s="162">
        <f>SUM(E16,G16)</f>
        <v>0</v>
      </c>
      <c r="I16" s="212">
        <f>H16/$H$18</f>
        <v>0</v>
      </c>
      <c r="J16" s="216">
        <f>D57</f>
        <v>1396825.3968253967</v>
      </c>
      <c r="K16" s="162">
        <f>J16</f>
        <v>1396825.3968253967</v>
      </c>
      <c r="L16" s="95">
        <f>K16/$K$18</f>
        <v>0.05418992571755087</v>
      </c>
    </row>
    <row r="17" spans="1:12" ht="16.5" thickBot="1">
      <c r="A17" s="259" t="s">
        <v>107</v>
      </c>
      <c r="B17" s="47">
        <v>0</v>
      </c>
      <c r="C17" s="86">
        <f>B17/$B$18</f>
        <v>0</v>
      </c>
      <c r="D17" s="170">
        <v>0</v>
      </c>
      <c r="E17" s="163">
        <v>0</v>
      </c>
      <c r="F17" s="212">
        <f>E17/$E$18</f>
        <v>0</v>
      </c>
      <c r="G17" s="69">
        <f>'Series A Preferred'!G13</f>
        <v>0</v>
      </c>
      <c r="H17" s="162">
        <f>SUM(E17,G17)</f>
        <v>0</v>
      </c>
      <c r="I17" s="212">
        <f>H17/$H$18</f>
        <v>0</v>
      </c>
      <c r="J17" s="252">
        <f>D121</f>
        <v>514090.6611047536</v>
      </c>
      <c r="K17" s="162">
        <f>J17</f>
        <v>514090.6611047536</v>
      </c>
      <c r="L17" s="95">
        <f>K17/$K$18</f>
        <v>0.019944178277877873</v>
      </c>
    </row>
    <row r="18" spans="1:12" ht="16.5" thickBot="1">
      <c r="A18" s="28" t="s">
        <v>3</v>
      </c>
      <c r="B18" s="32">
        <f aca="true" t="shared" si="0" ref="B18:I18">SUM(B5:B17)</f>
        <v>2000000</v>
      </c>
      <c r="C18" s="57">
        <f t="shared" si="0"/>
        <v>1</v>
      </c>
      <c r="D18" s="130">
        <f t="shared" si="0"/>
        <v>1333333.3333333335</v>
      </c>
      <c r="E18" s="164">
        <f t="shared" si="0"/>
        <v>3333333.3333333335</v>
      </c>
      <c r="F18" s="214">
        <f t="shared" si="0"/>
        <v>1</v>
      </c>
      <c r="G18" s="56">
        <f t="shared" si="0"/>
        <v>6944444.444444445</v>
      </c>
      <c r="H18" s="164">
        <f t="shared" si="0"/>
        <v>9777777.777777778</v>
      </c>
      <c r="I18" s="214">
        <f t="shared" si="0"/>
        <v>1</v>
      </c>
      <c r="J18" s="56">
        <f>SUM(J5:J17)</f>
        <v>15998699.645460267</v>
      </c>
      <c r="K18" s="164">
        <f>SUM(K5:K17)</f>
        <v>25776477.423238043</v>
      </c>
      <c r="L18" s="110">
        <f>SUM(L5:L17)</f>
        <v>1</v>
      </c>
    </row>
    <row r="21" spans="1:12" ht="12.75">
      <c r="A21" s="98" t="s">
        <v>33</v>
      </c>
      <c r="C21" s="2"/>
      <c r="E21" s="270"/>
      <c r="G21" s="277"/>
      <c r="H21" s="116"/>
      <c r="I21" s="116"/>
      <c r="J21" s="116"/>
      <c r="K21" s="116"/>
      <c r="L21" s="116"/>
    </row>
    <row r="22" spans="1:12" ht="12.75">
      <c r="A22" s="98"/>
      <c r="C22" s="2"/>
      <c r="G22" s="116"/>
      <c r="H22" s="116"/>
      <c r="I22" s="116"/>
      <c r="J22" s="116"/>
      <c r="K22" s="116"/>
      <c r="L22" s="116"/>
    </row>
    <row r="23" spans="1:13" ht="12.75">
      <c r="A23" s="97" t="s">
        <v>34</v>
      </c>
      <c r="F23" s="115"/>
      <c r="G23" s="238"/>
      <c r="H23" s="116"/>
      <c r="I23" s="116"/>
      <c r="J23" s="116"/>
      <c r="K23" s="116"/>
      <c r="L23" s="116"/>
      <c r="M23" s="116"/>
    </row>
    <row r="24" spans="1:13" ht="12.75">
      <c r="A24" s="2" t="s">
        <v>84</v>
      </c>
      <c r="D24" s="176">
        <f>'Series A Preferred'!$I14</f>
        <v>1</v>
      </c>
      <c r="F24" s="117"/>
      <c r="G24" s="117"/>
      <c r="H24" s="116"/>
      <c r="I24" s="116"/>
      <c r="J24" s="116"/>
      <c r="K24" s="182"/>
      <c r="L24" s="182"/>
      <c r="M24" s="116"/>
    </row>
    <row r="25" spans="1:13" ht="12.75">
      <c r="A25" s="2" t="s">
        <v>83</v>
      </c>
      <c r="D25" s="176">
        <f>'Final Fully Diluted'!$M14</f>
        <v>0.5</v>
      </c>
      <c r="F25" s="117"/>
      <c r="G25" s="117"/>
      <c r="H25" s="116"/>
      <c r="I25" s="116"/>
      <c r="J25" s="116"/>
      <c r="K25" s="116"/>
      <c r="L25" s="182"/>
      <c r="M25" s="116"/>
    </row>
    <row r="26" spans="1:13" ht="12.75">
      <c r="A26" s="2" t="s">
        <v>44</v>
      </c>
      <c r="D26" s="178">
        <f>D24-D25</f>
        <v>0.5</v>
      </c>
      <c r="F26" s="2"/>
      <c r="G26" s="117"/>
      <c r="H26" s="120"/>
      <c r="I26" s="119"/>
      <c r="J26" s="113"/>
      <c r="K26" s="182"/>
      <c r="L26" s="182"/>
      <c r="M26" s="116"/>
    </row>
    <row r="27" spans="1:13" ht="12.75">
      <c r="A27" s="111" t="s">
        <v>114</v>
      </c>
      <c r="D27" s="182">
        <f>'Final Fully Diluted'!$M10</f>
        <v>0.15</v>
      </c>
      <c r="G27" s="278"/>
      <c r="H27" s="120"/>
      <c r="I27" s="119"/>
      <c r="J27" s="113"/>
      <c r="K27" s="119"/>
      <c r="L27" s="182"/>
      <c r="M27" s="116"/>
    </row>
    <row r="28" spans="1:13" ht="12.75">
      <c r="A28" s="111"/>
      <c r="D28" s="182"/>
      <c r="G28" s="278"/>
      <c r="H28" s="120"/>
      <c r="I28" s="119"/>
      <c r="J28" s="113"/>
      <c r="K28" s="119"/>
      <c r="L28" s="182"/>
      <c r="M28" s="116"/>
    </row>
    <row r="29" spans="1:13" ht="13.5" thickBot="1">
      <c r="A29" s="2" t="s">
        <v>115</v>
      </c>
      <c r="D29" s="177">
        <f>D26-D27</f>
        <v>0.35</v>
      </c>
      <c r="F29" s="180"/>
      <c r="G29" s="117"/>
      <c r="H29" s="120"/>
      <c r="I29" s="119"/>
      <c r="J29" s="113"/>
      <c r="K29" s="119"/>
      <c r="L29" s="279"/>
      <c r="M29" s="116"/>
    </row>
    <row r="30" spans="1:13" ht="13.5" thickTop="1">
      <c r="A30" s="2"/>
      <c r="D30" s="132"/>
      <c r="F30" s="118"/>
      <c r="G30" s="117"/>
      <c r="H30" s="120"/>
      <c r="I30" s="119"/>
      <c r="J30" s="113"/>
      <c r="K30" s="119"/>
      <c r="L30" s="132"/>
      <c r="M30" s="116"/>
    </row>
    <row r="31" spans="1:13" ht="12.75">
      <c r="A31" s="97" t="s">
        <v>35</v>
      </c>
      <c r="D31" s="2"/>
      <c r="F31" s="115"/>
      <c r="G31" s="238"/>
      <c r="H31" s="116"/>
      <c r="I31" s="116"/>
      <c r="J31" s="116"/>
      <c r="K31" s="116"/>
      <c r="L31" s="117"/>
      <c r="M31" s="116"/>
    </row>
    <row r="32" spans="1:13" ht="12.75">
      <c r="A32" s="2" t="s">
        <v>54</v>
      </c>
      <c r="D32" s="133">
        <f>$B5</f>
        <v>1000000</v>
      </c>
      <c r="F32" s="117"/>
      <c r="G32" s="117"/>
      <c r="H32" s="116"/>
      <c r="I32" s="116"/>
      <c r="J32" s="116"/>
      <c r="K32" s="116"/>
      <c r="L32" s="280"/>
      <c r="M32" s="116"/>
    </row>
    <row r="33" spans="1:13" ht="12.75">
      <c r="A33" s="2" t="s">
        <v>55</v>
      </c>
      <c r="D33" s="133">
        <f>$B6</f>
        <v>1000000</v>
      </c>
      <c r="F33" s="117"/>
      <c r="G33" s="117"/>
      <c r="H33" s="116"/>
      <c r="I33" s="116"/>
      <c r="J33" s="116"/>
      <c r="K33" s="116"/>
      <c r="L33" s="280"/>
      <c r="M33" s="116"/>
    </row>
    <row r="34" spans="1:13" ht="12.75">
      <c r="A34" s="2" t="s">
        <v>59</v>
      </c>
      <c r="D34" s="133">
        <f>$D7</f>
        <v>833333.3333333334</v>
      </c>
      <c r="F34" s="117"/>
      <c r="G34" s="117"/>
      <c r="H34" s="116"/>
      <c r="I34" s="116"/>
      <c r="J34" s="116"/>
      <c r="K34" s="116"/>
      <c r="L34" s="280"/>
      <c r="M34" s="116"/>
    </row>
    <row r="35" spans="1:13" ht="12.75">
      <c r="A35" s="2" t="s">
        <v>93</v>
      </c>
      <c r="D35" s="133">
        <f>$G8</f>
        <v>4888888.888888889</v>
      </c>
      <c r="F35" s="117"/>
      <c r="G35" s="117"/>
      <c r="H35" s="116"/>
      <c r="I35" s="116"/>
      <c r="J35" s="116"/>
      <c r="K35" s="116"/>
      <c r="L35" s="280"/>
      <c r="M35" s="116"/>
    </row>
    <row r="36" spans="1:13" ht="12.75">
      <c r="A36" s="2" t="s">
        <v>218</v>
      </c>
      <c r="D36" s="133">
        <f>G14</f>
        <v>100000</v>
      </c>
      <c r="F36" s="117"/>
      <c r="G36" s="117"/>
      <c r="H36" s="116"/>
      <c r="I36" s="116"/>
      <c r="J36" s="116"/>
      <c r="K36" s="116"/>
      <c r="L36" s="280"/>
      <c r="M36" s="116"/>
    </row>
    <row r="37" spans="1:13" ht="12.75">
      <c r="A37" s="2"/>
      <c r="D37" s="133"/>
      <c r="F37" s="121"/>
      <c r="G37" s="117"/>
      <c r="H37" s="122"/>
      <c r="I37" s="119"/>
      <c r="J37" s="122"/>
      <c r="K37" s="123"/>
      <c r="L37" s="280"/>
      <c r="M37" s="119"/>
    </row>
    <row r="38" spans="1:13" ht="12.75">
      <c r="A38" s="2" t="s">
        <v>116</v>
      </c>
      <c r="D38" s="134">
        <f>SUM(D32:D37)</f>
        <v>7822222.222222222</v>
      </c>
      <c r="F38" s="121"/>
      <c r="G38" s="117"/>
      <c r="H38" s="122"/>
      <c r="I38" s="119"/>
      <c r="J38" s="122"/>
      <c r="K38" s="123"/>
      <c r="L38" s="280"/>
      <c r="M38" s="119"/>
    </row>
    <row r="39" spans="1:13" ht="12.75">
      <c r="A39" s="2" t="s">
        <v>117</v>
      </c>
      <c r="D39" s="224">
        <f>D29</f>
        <v>0.35</v>
      </c>
      <c r="F39" s="175"/>
      <c r="G39" s="117"/>
      <c r="H39" s="175"/>
      <c r="I39" s="120"/>
      <c r="J39" s="119"/>
      <c r="K39" s="107"/>
      <c r="L39" s="224"/>
      <c r="M39" s="116"/>
    </row>
    <row r="40" spans="1:13" ht="12.75">
      <c r="A40" s="2"/>
      <c r="D40" s="181"/>
      <c r="F40" s="175"/>
      <c r="G40" s="117"/>
      <c r="H40" s="175"/>
      <c r="I40" s="120"/>
      <c r="J40" s="119"/>
      <c r="K40" s="107"/>
      <c r="L40" s="181"/>
      <c r="M40" s="116"/>
    </row>
    <row r="41" spans="1:12" ht="13.5" thickBot="1">
      <c r="A41" s="97" t="s">
        <v>85</v>
      </c>
      <c r="D41" s="160">
        <f>D38/D39</f>
        <v>22349206.34920635</v>
      </c>
      <c r="F41" s="99"/>
      <c r="G41" s="238"/>
      <c r="H41" s="123"/>
      <c r="I41" s="120"/>
      <c r="J41" s="119"/>
      <c r="K41" s="107"/>
      <c r="L41" s="124"/>
    </row>
    <row r="42" spans="1:12" ht="13.5" thickTop="1">
      <c r="A42" s="97"/>
      <c r="D42" s="136"/>
      <c r="F42" s="99"/>
      <c r="G42" s="238"/>
      <c r="H42" s="123"/>
      <c r="I42" s="120"/>
      <c r="J42" s="119"/>
      <c r="K42" s="107"/>
      <c r="L42" s="136"/>
    </row>
    <row r="43" spans="1:12" ht="12.75">
      <c r="A43" s="98" t="s">
        <v>118</v>
      </c>
      <c r="D43" s="2"/>
      <c r="G43" s="277"/>
      <c r="H43" s="116"/>
      <c r="I43" s="116"/>
      <c r="J43" s="116"/>
      <c r="K43" s="116"/>
      <c r="L43" s="117"/>
    </row>
    <row r="44" spans="1:12" ht="12.75">
      <c r="A44" s="98"/>
      <c r="D44" s="2"/>
      <c r="G44" s="277"/>
      <c r="H44" s="116"/>
      <c r="I44" s="116"/>
      <c r="J44" s="116"/>
      <c r="K44" s="116"/>
      <c r="L44" s="117"/>
    </row>
    <row r="45" spans="1:12" ht="12.75">
      <c r="A45" s="2" t="s">
        <v>85</v>
      </c>
      <c r="D45" s="133">
        <f>D41</f>
        <v>22349206.34920635</v>
      </c>
      <c r="G45" s="117"/>
      <c r="H45" s="116"/>
      <c r="I45" s="116"/>
      <c r="J45" s="116"/>
      <c r="K45" s="116"/>
      <c r="L45" s="280"/>
    </row>
    <row r="46" spans="1:12" ht="12.75">
      <c r="A46" s="2" t="s">
        <v>119</v>
      </c>
      <c r="D46" s="137">
        <f>D25</f>
        <v>0.5</v>
      </c>
      <c r="G46" s="117"/>
      <c r="H46" s="119"/>
      <c r="I46" s="120"/>
      <c r="J46" s="119"/>
      <c r="K46" s="108"/>
      <c r="L46" s="132"/>
    </row>
    <row r="47" spans="1:12" ht="12.75">
      <c r="A47" s="2"/>
      <c r="D47" s="137"/>
      <c r="G47" s="117"/>
      <c r="H47" s="119"/>
      <c r="I47" s="120"/>
      <c r="J47" s="119"/>
      <c r="K47" s="108"/>
      <c r="L47" s="132"/>
    </row>
    <row r="48" spans="1:12" ht="13.5" thickBot="1">
      <c r="A48" s="97" t="s">
        <v>120</v>
      </c>
      <c r="B48" s="97"/>
      <c r="C48" s="97"/>
      <c r="D48" s="160">
        <f>D45*D46</f>
        <v>11174603.174603175</v>
      </c>
      <c r="F48" s="99"/>
      <c r="G48" s="238"/>
      <c r="H48" s="116"/>
      <c r="I48" s="116"/>
      <c r="J48" s="116"/>
      <c r="K48" s="116"/>
      <c r="L48" s="124"/>
    </row>
    <row r="49" spans="4:12" ht="13.5" thickTop="1">
      <c r="D49" s="124"/>
      <c r="F49" s="99"/>
      <c r="G49" s="116"/>
      <c r="H49" s="116"/>
      <c r="I49" s="116"/>
      <c r="J49" s="116"/>
      <c r="K49" s="116"/>
      <c r="L49" s="124"/>
    </row>
    <row r="50" spans="1:12" ht="12.75">
      <c r="A50" s="98" t="s">
        <v>60</v>
      </c>
      <c r="F50" s="2"/>
      <c r="G50" s="277"/>
      <c r="H50" s="116"/>
      <c r="I50" s="116"/>
      <c r="J50" s="116"/>
      <c r="K50" s="116"/>
      <c r="L50" s="116"/>
    </row>
    <row r="51" spans="1:12" ht="12.75">
      <c r="A51" s="98"/>
      <c r="G51" s="277"/>
      <c r="H51" s="253"/>
      <c r="I51" s="116"/>
      <c r="J51" s="116"/>
      <c r="K51" s="116"/>
      <c r="L51" s="116"/>
    </row>
    <row r="52" spans="1:12" ht="12.75">
      <c r="A52" s="2" t="s">
        <v>85</v>
      </c>
      <c r="D52" s="92">
        <f>D41</f>
        <v>22349206.34920635</v>
      </c>
      <c r="G52" s="117"/>
      <c r="H52" s="116"/>
      <c r="I52" s="116"/>
      <c r="J52" s="116"/>
      <c r="K52" s="116"/>
      <c r="L52" s="225"/>
    </row>
    <row r="53" spans="1:12" ht="12.75">
      <c r="A53" s="2" t="s">
        <v>87</v>
      </c>
      <c r="D53" s="102">
        <f>D27</f>
        <v>0.15</v>
      </c>
      <c r="G53" s="117"/>
      <c r="H53" s="119"/>
      <c r="I53" s="120"/>
      <c r="J53" s="119"/>
      <c r="K53" s="108"/>
      <c r="L53" s="113"/>
    </row>
    <row r="54" spans="1:12" ht="12.75">
      <c r="A54" s="2" t="s">
        <v>70</v>
      </c>
      <c r="D54" s="191">
        <f>D52*D53</f>
        <v>3352380.9523809524</v>
      </c>
      <c r="G54" s="117"/>
      <c r="H54" s="119"/>
      <c r="I54" s="120"/>
      <c r="J54" s="119"/>
      <c r="K54" s="108"/>
      <c r="L54" s="273"/>
    </row>
    <row r="55" spans="1:12" ht="12.75">
      <c r="A55" s="111" t="s">
        <v>78</v>
      </c>
      <c r="D55" s="91">
        <f>$K15</f>
        <v>1955555.5555555557</v>
      </c>
      <c r="G55" s="278"/>
      <c r="H55" s="119"/>
      <c r="I55" s="120"/>
      <c r="J55" s="119"/>
      <c r="K55" s="108"/>
      <c r="L55" s="236"/>
    </row>
    <row r="56" spans="1:12" ht="12.75">
      <c r="A56" s="97"/>
      <c r="B56" s="97"/>
      <c r="C56" s="97"/>
      <c r="D56" s="124"/>
      <c r="G56" s="238"/>
      <c r="H56" s="116"/>
      <c r="I56" s="116"/>
      <c r="J56" s="116"/>
      <c r="K56" s="116"/>
      <c r="L56" s="124"/>
    </row>
    <row r="57" spans="1:12" ht="13.5" thickBot="1">
      <c r="A57" s="97" t="s">
        <v>71</v>
      </c>
      <c r="D57" s="160">
        <f>D54-D55</f>
        <v>1396825.3968253967</v>
      </c>
      <c r="G57" s="238"/>
      <c r="H57" s="116"/>
      <c r="I57" s="116"/>
      <c r="J57" s="116"/>
      <c r="K57" s="116"/>
      <c r="L57" s="124"/>
    </row>
    <row r="58" spans="7:12" ht="13.5" thickTop="1">
      <c r="G58" s="116"/>
      <c r="H58" s="116"/>
      <c r="I58" s="116"/>
      <c r="J58" s="116"/>
      <c r="K58" s="116"/>
      <c r="L58" s="116"/>
    </row>
    <row r="59" spans="1:12" ht="12.75">
      <c r="A59" s="98" t="s">
        <v>97</v>
      </c>
      <c r="G59" s="277"/>
      <c r="H59" s="116"/>
      <c r="I59" s="116"/>
      <c r="J59" s="116"/>
      <c r="K59" s="116"/>
      <c r="L59" s="116"/>
    </row>
    <row r="60" spans="1:12" ht="12.75">
      <c r="A60" s="2"/>
      <c r="C60" s="91"/>
      <c r="G60" s="117"/>
      <c r="H60" s="116"/>
      <c r="I60" s="116"/>
      <c r="J60" s="116"/>
      <c r="K60" s="116"/>
      <c r="L60" s="116"/>
    </row>
    <row r="61" spans="1:12" ht="12.75" customHeight="1">
      <c r="A61" s="97" t="s">
        <v>121</v>
      </c>
      <c r="B61" s="232"/>
      <c r="D61" s="231" t="s">
        <v>104</v>
      </c>
      <c r="G61" s="238"/>
      <c r="H61" s="116"/>
      <c r="I61" s="116"/>
      <c r="J61" s="116"/>
      <c r="K61" s="116"/>
      <c r="L61" s="281"/>
    </row>
    <row r="62" spans="1:12" ht="12.75">
      <c r="A62" s="97"/>
      <c r="B62" s="232"/>
      <c r="D62" s="232"/>
      <c r="G62" s="238"/>
      <c r="H62" s="116"/>
      <c r="I62" s="116"/>
      <c r="J62" s="116"/>
      <c r="K62" s="116"/>
      <c r="L62" s="281"/>
    </row>
    <row r="63" spans="1:12" ht="12.75" customHeight="1">
      <c r="A63" s="97" t="s">
        <v>122</v>
      </c>
      <c r="B63" s="227"/>
      <c r="C63" s="92"/>
      <c r="D63" s="92"/>
      <c r="G63" s="238"/>
      <c r="H63" s="116"/>
      <c r="I63" s="116"/>
      <c r="J63" s="116"/>
      <c r="K63" s="116"/>
      <c r="L63" s="225"/>
    </row>
    <row r="64" spans="1:12" ht="12.75" customHeight="1">
      <c r="A64" s="231" t="s">
        <v>99</v>
      </c>
      <c r="D64" s="229">
        <f>'Final Fully Diluted'!$J12</f>
        <v>2.0454545454545454</v>
      </c>
      <c r="G64" s="282"/>
      <c r="H64" s="116"/>
      <c r="I64" s="116"/>
      <c r="J64" s="236"/>
      <c r="K64" s="116"/>
      <c r="L64" s="229"/>
    </row>
    <row r="65" spans="1:12" ht="12.75" customHeight="1">
      <c r="A65" s="231"/>
      <c r="D65" s="229"/>
      <c r="G65" s="282"/>
      <c r="H65" s="116"/>
      <c r="I65" s="116"/>
      <c r="J65" s="229"/>
      <c r="K65" s="116"/>
      <c r="L65" s="229"/>
    </row>
    <row r="66" spans="1:12" ht="12.75" customHeight="1">
      <c r="A66" s="231" t="s">
        <v>219</v>
      </c>
      <c r="D66" s="121" t="s">
        <v>111</v>
      </c>
      <c r="G66" s="282"/>
      <c r="H66" s="116"/>
      <c r="I66" s="116"/>
      <c r="J66" s="229"/>
      <c r="K66" s="116"/>
      <c r="L66" s="121"/>
    </row>
    <row r="67" spans="1:12" ht="12.75" customHeight="1">
      <c r="A67" s="231"/>
      <c r="D67" s="121"/>
      <c r="G67" s="282"/>
      <c r="H67" s="116"/>
      <c r="I67" s="116"/>
      <c r="J67" s="116"/>
      <c r="K67" s="116"/>
      <c r="L67" s="121"/>
    </row>
    <row r="68" spans="1:12" ht="12.75">
      <c r="A68" s="228" t="s">
        <v>123</v>
      </c>
      <c r="D68" s="225">
        <f>$H18-($H15-$E15)</f>
        <v>8322222.222222222</v>
      </c>
      <c r="G68" s="283"/>
      <c r="H68" s="116"/>
      <c r="I68" s="116"/>
      <c r="J68" s="257"/>
      <c r="K68" s="116"/>
      <c r="L68" s="225"/>
    </row>
    <row r="69" spans="1:12" ht="12.75">
      <c r="A69" s="230"/>
      <c r="D69" s="226"/>
      <c r="G69" s="284"/>
      <c r="H69" s="116"/>
      <c r="I69" s="116"/>
      <c r="J69" s="257"/>
      <c r="K69" s="116"/>
      <c r="L69" s="226"/>
    </row>
    <row r="70" spans="1:12" ht="25.5">
      <c r="A70" s="230" t="s">
        <v>101</v>
      </c>
      <c r="D70" s="260">
        <f>'Final Fully Diluted'!$M6/D64</f>
        <v>7333333.333333333</v>
      </c>
      <c r="F70" s="2"/>
      <c r="G70" s="377"/>
      <c r="H70" s="377"/>
      <c r="I70" s="377"/>
      <c r="J70" s="377"/>
      <c r="K70" s="116"/>
      <c r="L70" s="285"/>
    </row>
    <row r="71" spans="1:12" ht="12.75">
      <c r="A71" s="230"/>
      <c r="D71" s="116"/>
      <c r="F71" s="2"/>
      <c r="G71" s="284"/>
      <c r="H71" s="116"/>
      <c r="I71" s="116"/>
      <c r="J71" s="116"/>
      <c r="K71" s="116"/>
      <c r="L71" s="116"/>
    </row>
    <row r="72" spans="1:12" ht="12.75">
      <c r="A72" s="243" t="s">
        <v>124</v>
      </c>
      <c r="D72" s="233">
        <f>'Final Fully Diluted'!$M8</f>
        <v>15000000</v>
      </c>
      <c r="G72" s="286"/>
      <c r="H72" s="116"/>
      <c r="I72" s="116"/>
      <c r="J72" s="225"/>
      <c r="K72" s="116"/>
      <c r="L72" s="233"/>
    </row>
    <row r="73" spans="1:12" ht="15.75">
      <c r="A73" s="234" t="s">
        <v>102</v>
      </c>
      <c r="D73" s="229">
        <f>D64</f>
        <v>2.0454545454545454</v>
      </c>
      <c r="G73" s="287"/>
      <c r="H73" s="238"/>
      <c r="I73" s="238"/>
      <c r="J73" s="258"/>
      <c r="K73" s="116"/>
      <c r="L73" s="229"/>
    </row>
    <row r="74" spans="4:12" ht="13.5" thickBot="1">
      <c r="D74" s="235">
        <f>D72/D73</f>
        <v>7333333.333333333</v>
      </c>
      <c r="G74" s="116"/>
      <c r="H74" s="116"/>
      <c r="I74" s="116"/>
      <c r="J74" s="225"/>
      <c r="K74" s="116"/>
      <c r="L74" s="236"/>
    </row>
    <row r="75" spans="1:12" ht="13.5" thickTop="1">
      <c r="A75" s="2"/>
      <c r="D75" s="236"/>
      <c r="G75" s="117"/>
      <c r="H75" s="116"/>
      <c r="I75" s="116"/>
      <c r="J75" s="225"/>
      <c r="K75" s="116"/>
      <c r="L75" s="236"/>
    </row>
    <row r="76" spans="1:12" ht="12.75">
      <c r="A76" s="2" t="s">
        <v>103</v>
      </c>
      <c r="D76" s="236">
        <f>D48</f>
        <v>11174603.174603175</v>
      </c>
      <c r="F76" s="223"/>
      <c r="G76" s="117"/>
      <c r="H76" s="116"/>
      <c r="I76" s="116"/>
      <c r="J76" s="116"/>
      <c r="K76" s="116"/>
      <c r="L76" s="271"/>
    </row>
    <row r="77" spans="7:12" ht="12.75">
      <c r="G77" s="116"/>
      <c r="H77" s="116"/>
      <c r="I77" s="116"/>
      <c r="J77" s="116"/>
      <c r="K77" s="116"/>
      <c r="L77" s="116"/>
    </row>
    <row r="78" spans="1:12" ht="12.75">
      <c r="A78" s="97" t="s">
        <v>98</v>
      </c>
      <c r="G78" s="238"/>
      <c r="H78" s="116"/>
      <c r="I78" s="116"/>
      <c r="J78" s="116"/>
      <c r="K78" s="116"/>
      <c r="L78" s="116"/>
    </row>
    <row r="79" spans="1:12" ht="12.75">
      <c r="A79" s="97"/>
      <c r="G79" s="238"/>
      <c r="H79" s="116"/>
      <c r="I79" s="116"/>
      <c r="J79" s="116"/>
      <c r="K79" s="116"/>
      <c r="L79" s="116"/>
    </row>
    <row r="80" spans="1:12" ht="12.75">
      <c r="A80" s="2" t="s">
        <v>125</v>
      </c>
      <c r="D80" s="92">
        <f>D68</f>
        <v>8322222.222222222</v>
      </c>
      <c r="G80" s="117"/>
      <c r="H80" s="116"/>
      <c r="I80" s="116"/>
      <c r="J80" s="116"/>
      <c r="K80" s="116"/>
      <c r="L80" s="225"/>
    </row>
    <row r="81" spans="1:12" ht="12.75">
      <c r="A81" s="2" t="s">
        <v>126</v>
      </c>
      <c r="D81" s="92">
        <f>D74</f>
        <v>7333333.333333333</v>
      </c>
      <c r="G81" s="117"/>
      <c r="H81" s="116"/>
      <c r="I81" s="116"/>
      <c r="J81" s="116"/>
      <c r="K81" s="116"/>
      <c r="L81" s="225"/>
    </row>
    <row r="82" spans="1:12" ht="12.75">
      <c r="A82" s="2" t="s">
        <v>127</v>
      </c>
      <c r="D82" s="237">
        <f>D80+D81</f>
        <v>15655555.555555556</v>
      </c>
      <c r="G82" s="117"/>
      <c r="H82" s="116"/>
      <c r="I82" s="116"/>
      <c r="J82" s="116"/>
      <c r="K82" s="116"/>
      <c r="L82" s="225"/>
    </row>
    <row r="83" spans="1:12" ht="12.75">
      <c r="A83" s="111"/>
      <c r="D83" s="225"/>
      <c r="G83" s="278"/>
      <c r="H83" s="116"/>
      <c r="I83" s="116"/>
      <c r="J83" s="116"/>
      <c r="K83" s="116"/>
      <c r="L83" s="225"/>
    </row>
    <row r="84" spans="1:12" ht="12.75">
      <c r="A84" s="2" t="s">
        <v>125</v>
      </c>
      <c r="D84" s="92">
        <f>D68</f>
        <v>8322222.222222222</v>
      </c>
      <c r="G84" s="117"/>
      <c r="H84" s="116"/>
      <c r="I84" s="116"/>
      <c r="J84" s="116"/>
      <c r="K84" s="116"/>
      <c r="L84" s="225"/>
    </row>
    <row r="85" spans="1:12" ht="12.75">
      <c r="A85" s="111" t="s">
        <v>128</v>
      </c>
      <c r="D85" s="92">
        <f>D76</f>
        <v>11174603.174603175</v>
      </c>
      <c r="G85" s="278"/>
      <c r="H85" s="116"/>
      <c r="I85" s="116"/>
      <c r="J85" s="116"/>
      <c r="K85" s="116"/>
      <c r="L85" s="225"/>
    </row>
    <row r="86" spans="1:12" ht="12.75">
      <c r="A86" s="2" t="s">
        <v>129</v>
      </c>
      <c r="D86" s="237">
        <f>D84+D85</f>
        <v>19496825.396825396</v>
      </c>
      <c r="G86" s="117"/>
      <c r="H86" s="116"/>
      <c r="I86" s="116"/>
      <c r="J86" s="116"/>
      <c r="K86" s="116"/>
      <c r="L86" s="225"/>
    </row>
    <row r="87" spans="1:12" ht="12.75">
      <c r="A87" s="2"/>
      <c r="D87" s="242"/>
      <c r="G87" s="117"/>
      <c r="H87" s="116"/>
      <c r="I87" s="116"/>
      <c r="J87" s="116"/>
      <c r="K87" s="116"/>
      <c r="L87" s="225"/>
    </row>
    <row r="88" spans="1:12" ht="13.5" thickBot="1">
      <c r="A88" s="2" t="s">
        <v>130</v>
      </c>
      <c r="D88" s="241">
        <f>D82/D86</f>
        <v>0.8029797280794595</v>
      </c>
      <c r="G88" s="117"/>
      <c r="H88" s="116"/>
      <c r="I88" s="116"/>
      <c r="J88" s="116"/>
      <c r="K88" s="116"/>
      <c r="L88" s="117"/>
    </row>
    <row r="89" spans="1:12" ht="13.5" thickTop="1">
      <c r="A89" s="97"/>
      <c r="D89" s="238"/>
      <c r="G89" s="238"/>
      <c r="H89" s="116"/>
      <c r="I89" s="116"/>
      <c r="J89" s="116"/>
      <c r="K89" s="116"/>
      <c r="L89" s="238"/>
    </row>
    <row r="90" spans="1:12" ht="12.75" customHeight="1">
      <c r="A90" s="2" t="s">
        <v>131</v>
      </c>
      <c r="D90" s="261">
        <f>D64</f>
        <v>2.0454545454545454</v>
      </c>
      <c r="G90" s="117"/>
      <c r="H90" s="116"/>
      <c r="I90" s="116"/>
      <c r="J90" s="116"/>
      <c r="K90" s="116"/>
      <c r="L90" s="261"/>
    </row>
    <row r="91" spans="1:12" ht="12.75">
      <c r="A91" s="2" t="s">
        <v>132</v>
      </c>
      <c r="D91" s="239">
        <f>D88</f>
        <v>0.8029797280794595</v>
      </c>
      <c r="G91" s="117"/>
      <c r="H91" s="116"/>
      <c r="I91" s="116"/>
      <c r="J91" s="116"/>
      <c r="K91" s="116"/>
      <c r="L91" s="257"/>
    </row>
    <row r="92" spans="1:12" ht="16.5" thickBot="1">
      <c r="A92" s="231" t="s">
        <v>100</v>
      </c>
      <c r="D92" s="240">
        <f>D90*D91</f>
        <v>1.6424585347079852</v>
      </c>
      <c r="G92" s="282"/>
      <c r="H92" s="116"/>
      <c r="I92" s="116"/>
      <c r="J92" s="116"/>
      <c r="K92" s="116"/>
      <c r="L92" s="288"/>
    </row>
    <row r="93" spans="7:12" ht="13.5" thickTop="1">
      <c r="G93" s="116"/>
      <c r="H93" s="116"/>
      <c r="I93" s="116"/>
      <c r="J93" s="116"/>
      <c r="K93" s="116"/>
      <c r="L93" s="116"/>
    </row>
    <row r="94" spans="1:12" ht="12.75">
      <c r="A94" s="97" t="s">
        <v>220</v>
      </c>
      <c r="G94" s="238"/>
      <c r="H94" s="116"/>
      <c r="I94" s="116"/>
      <c r="J94" s="116"/>
      <c r="K94" s="116"/>
      <c r="L94" s="116"/>
    </row>
    <row r="95" spans="1:12" s="245" customFormat="1" ht="12.75" customHeight="1">
      <c r="A95" s="2"/>
      <c r="B95"/>
      <c r="C95"/>
      <c r="D95"/>
      <c r="F95"/>
      <c r="G95" s="117"/>
      <c r="H95" s="116"/>
      <c r="I95" s="116"/>
      <c r="J95" s="116"/>
      <c r="K95" s="116"/>
      <c r="L95" s="116"/>
    </row>
    <row r="96" spans="1:12" s="245" customFormat="1" ht="12.75" customHeight="1">
      <c r="A96" s="243" t="s">
        <v>106</v>
      </c>
      <c r="B96"/>
      <c r="C96"/>
      <c r="D96" s="246">
        <f>'Final Fully Diluted'!$J8</f>
        <v>10000000</v>
      </c>
      <c r="F96"/>
      <c r="G96" s="286"/>
      <c r="H96" s="116"/>
      <c r="I96" s="116"/>
      <c r="J96" s="116"/>
      <c r="K96" s="116"/>
      <c r="L96" s="233"/>
    </row>
    <row r="97" spans="1:12" s="245" customFormat="1" ht="12.75" customHeight="1">
      <c r="A97" s="244" t="s">
        <v>133</v>
      </c>
      <c r="D97" s="247">
        <f>D92</f>
        <v>1.6424585347079852</v>
      </c>
      <c r="G97" s="289"/>
      <c r="H97" s="249"/>
      <c r="I97" s="249"/>
      <c r="J97" s="249"/>
      <c r="K97" s="249"/>
      <c r="L97" s="290"/>
    </row>
    <row r="98" spans="1:12" ht="15.75">
      <c r="A98" s="244" t="s">
        <v>105</v>
      </c>
      <c r="B98" s="245"/>
      <c r="C98" s="245"/>
      <c r="D98" s="250">
        <f>D96/D97</f>
        <v>6088433.764799982</v>
      </c>
      <c r="F98" s="245"/>
      <c r="G98" s="289"/>
      <c r="H98" s="249"/>
      <c r="I98" s="249"/>
      <c r="J98" s="249"/>
      <c r="K98" s="249"/>
      <c r="L98" s="291"/>
    </row>
    <row r="99" spans="1:12" ht="12.75">
      <c r="A99" s="248"/>
      <c r="B99" s="245"/>
      <c r="C99" s="245"/>
      <c r="D99" s="249"/>
      <c r="F99" s="245"/>
      <c r="G99" s="292"/>
      <c r="H99" s="249"/>
      <c r="I99" s="249"/>
      <c r="J99" s="249"/>
      <c r="K99" s="249"/>
      <c r="L99" s="249"/>
    </row>
    <row r="100" spans="1:12" ht="12.75">
      <c r="A100" s="111" t="s">
        <v>134</v>
      </c>
      <c r="D100" s="91">
        <f>'Series A Preferred'!$G14</f>
        <v>4888888.888888889</v>
      </c>
      <c r="G100" s="278"/>
      <c r="H100" s="116"/>
      <c r="I100" s="116"/>
      <c r="J100" s="116"/>
      <c r="K100" s="116"/>
      <c r="L100" s="236"/>
    </row>
    <row r="101" spans="1:12" ht="13.5" thickBot="1">
      <c r="A101" s="97" t="s">
        <v>135</v>
      </c>
      <c r="D101" s="251">
        <f>D98-D100</f>
        <v>1199544.8759110933</v>
      </c>
      <c r="G101" s="238"/>
      <c r="H101" s="116"/>
      <c r="I101" s="116"/>
      <c r="J101" s="116"/>
      <c r="K101" s="116"/>
      <c r="L101" s="258"/>
    </row>
    <row r="102" spans="7:12" ht="13.5" thickTop="1">
      <c r="G102" s="116"/>
      <c r="H102" s="116"/>
      <c r="I102" s="116"/>
      <c r="J102" s="116"/>
      <c r="K102" s="116"/>
      <c r="L102" s="116"/>
    </row>
    <row r="103" spans="1:12" ht="12.75">
      <c r="A103" s="98" t="s">
        <v>108</v>
      </c>
      <c r="G103" s="277"/>
      <c r="H103" s="116"/>
      <c r="I103" s="116"/>
      <c r="J103" s="116"/>
      <c r="K103" s="116"/>
      <c r="L103" s="116"/>
    </row>
    <row r="104" spans="7:12" ht="12.75" customHeight="1">
      <c r="G104" s="116"/>
      <c r="H104" s="116"/>
      <c r="I104" s="116"/>
      <c r="J104" s="116"/>
      <c r="K104" s="116"/>
      <c r="L104" s="116"/>
    </row>
    <row r="105" spans="1:12" ht="12.75">
      <c r="A105" s="2" t="s">
        <v>136</v>
      </c>
      <c r="D105" s="92">
        <f>D38</f>
        <v>7822222.222222222</v>
      </c>
      <c r="E105" s="225"/>
      <c r="G105" s="117"/>
      <c r="H105" s="116"/>
      <c r="I105" s="116"/>
      <c r="J105" s="116"/>
      <c r="K105" s="116"/>
      <c r="L105" s="293"/>
    </row>
    <row r="106" spans="1:12" ht="12.75">
      <c r="A106" s="2" t="s">
        <v>137</v>
      </c>
      <c r="D106" s="92">
        <f>D101</f>
        <v>1199544.8759110933</v>
      </c>
      <c r="E106" s="225"/>
      <c r="G106" s="117"/>
      <c r="H106" s="116"/>
      <c r="I106" s="116"/>
      <c r="J106" s="116"/>
      <c r="K106" s="116"/>
      <c r="L106" s="294"/>
    </row>
    <row r="107" spans="1:5" ht="12.75">
      <c r="A107" s="2" t="s">
        <v>138</v>
      </c>
      <c r="D107" s="237">
        <f>SUM(D105:D106)</f>
        <v>9021767.098133314</v>
      </c>
      <c r="E107" s="225"/>
    </row>
    <row r="108" spans="1:5" ht="12.75">
      <c r="A108" s="2" t="s">
        <v>117</v>
      </c>
      <c r="D108" s="224">
        <f>D29</f>
        <v>0.35</v>
      </c>
      <c r="E108" s="224"/>
    </row>
    <row r="109" spans="1:5" ht="12.75">
      <c r="A109" s="97" t="s">
        <v>139</v>
      </c>
      <c r="D109" s="191">
        <f>D107/D108</f>
        <v>25776477.423238043</v>
      </c>
      <c r="E109" s="273"/>
    </row>
    <row r="110" spans="1:5" ht="12.75">
      <c r="A110" s="2" t="s">
        <v>119</v>
      </c>
      <c r="D110" s="262">
        <f>D25</f>
        <v>0.5</v>
      </c>
      <c r="E110" s="274"/>
    </row>
    <row r="111" spans="1:5" ht="12.75">
      <c r="A111" s="97" t="s">
        <v>140</v>
      </c>
      <c r="D111" s="263">
        <f>D109*D110</f>
        <v>12888238.711619021</v>
      </c>
      <c r="E111" s="236"/>
    </row>
    <row r="112" spans="1:5" ht="12.75">
      <c r="A112" s="111" t="s">
        <v>141</v>
      </c>
      <c r="B112" s="97"/>
      <c r="C112" s="97"/>
      <c r="D112" s="124">
        <f>D48</f>
        <v>11174603.174603175</v>
      </c>
      <c r="E112" s="124"/>
    </row>
    <row r="113" spans="1:5" ht="13.5" thickBot="1">
      <c r="A113" s="97" t="s">
        <v>142</v>
      </c>
      <c r="D113" s="160">
        <f>D111-D112</f>
        <v>1713635.537015846</v>
      </c>
      <c r="E113" s="124"/>
    </row>
    <row r="114" ht="13.5" thickTop="1">
      <c r="E114" s="116"/>
    </row>
    <row r="115" spans="1:7" ht="12.75">
      <c r="A115" s="98" t="s">
        <v>109</v>
      </c>
      <c r="E115" s="116"/>
      <c r="G115" s="98"/>
    </row>
    <row r="116" ht="12.75">
      <c r="E116" s="116"/>
    </row>
    <row r="117" spans="1:7" ht="12.75">
      <c r="A117" s="97" t="s">
        <v>139</v>
      </c>
      <c r="D117" s="92">
        <f>D109</f>
        <v>25776477.423238043</v>
      </c>
      <c r="E117" s="225"/>
      <c r="G117" s="2"/>
    </row>
    <row r="118" spans="1:12" ht="12.75">
      <c r="A118" s="2" t="s">
        <v>87</v>
      </c>
      <c r="D118" s="102">
        <f>D27</f>
        <v>0.15</v>
      </c>
      <c r="E118" s="113"/>
      <c r="G118" s="2"/>
      <c r="L118" s="272"/>
    </row>
    <row r="119" spans="1:5" ht="12.75">
      <c r="A119" s="2" t="s">
        <v>143</v>
      </c>
      <c r="D119" s="191">
        <f>D117*D118</f>
        <v>3866471.613485706</v>
      </c>
      <c r="E119" s="273"/>
    </row>
    <row r="120" spans="1:5" ht="12.75">
      <c r="A120" s="111" t="s">
        <v>144</v>
      </c>
      <c r="D120" s="91">
        <f>D54</f>
        <v>3352380.9523809524</v>
      </c>
      <c r="E120" s="236"/>
    </row>
    <row r="121" spans="1:5" ht="13.5" thickBot="1">
      <c r="A121" s="97" t="s">
        <v>71</v>
      </c>
      <c r="D121" s="160">
        <f>D119-D120</f>
        <v>514090.6611047536</v>
      </c>
      <c r="E121" s="124"/>
    </row>
    <row r="122" ht="13.5" thickTop="1">
      <c r="E122" s="116"/>
    </row>
    <row r="123" spans="1:7" ht="13.5" thickBot="1">
      <c r="A123" s="97" t="s">
        <v>145</v>
      </c>
      <c r="D123" s="264">
        <f>($K11+$K12)/$K18</f>
        <v>0.5</v>
      </c>
      <c r="E123" s="275"/>
      <c r="G123" s="223"/>
    </row>
    <row r="124" ht="13.5" thickTop="1">
      <c r="E124" s="116"/>
    </row>
    <row r="125" spans="1:5" ht="13.5" thickBot="1">
      <c r="A125" s="97" t="s">
        <v>146</v>
      </c>
      <c r="D125" s="265">
        <f>(SUM($K15:$K17))/$K18</f>
        <v>0.15</v>
      </c>
      <c r="E125" s="276"/>
    </row>
    <row r="126" ht="13.5" thickTop="1"/>
  </sheetData>
  <sheetProtection/>
  <mergeCells count="1">
    <mergeCell ref="G70:J70"/>
  </mergeCells>
  <printOptions/>
  <pageMargins left="0.7" right="0.7" top="0.75" bottom="0.75" header="0.3" footer="0.3"/>
  <pageSetup horizontalDpi="600" verticalDpi="600" orientation="portrait" r:id="rId1"/>
  <headerFooter>
    <oddFooter>&amp;L&amp;"Arial,Regular"&amp;8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zoomScale="120" zoomScaleNormal="120" zoomScalePageLayoutView="0" workbookViewId="0" topLeftCell="A1">
      <pane ySplit="14" topLeftCell="A15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59.7109375" style="0" customWidth="1"/>
    <col min="2" max="4" width="15.7109375" style="0" customWidth="1"/>
  </cols>
  <sheetData>
    <row r="1" spans="1:3" ht="15.75">
      <c r="A1" s="295" t="s">
        <v>148</v>
      </c>
      <c r="B1" s="297"/>
      <c r="C1" s="207"/>
    </row>
    <row r="2" spans="1:3" ht="12.75">
      <c r="A2" s="3" t="s">
        <v>9</v>
      </c>
      <c r="B2" s="4">
        <f ca="1">TODAY()</f>
        <v>42627</v>
      </c>
      <c r="C2" s="1"/>
    </row>
    <row r="3" ht="13.5" thickBot="1"/>
    <row r="4" spans="1:4" ht="32.25" thickBot="1">
      <c r="A4" s="61" t="s">
        <v>22</v>
      </c>
      <c r="B4" s="49" t="s">
        <v>23</v>
      </c>
      <c r="C4" s="50" t="s">
        <v>41</v>
      </c>
      <c r="D4" s="326" t="s">
        <v>149</v>
      </c>
    </row>
    <row r="5" spans="1:4" ht="15.75">
      <c r="A5" s="165" t="s">
        <v>15</v>
      </c>
      <c r="B5" s="302">
        <f>'Final Fully Diluted'!L17</f>
        <v>1000000</v>
      </c>
      <c r="C5" s="344">
        <f>'Final Fully Diluted'!M17</f>
        <v>0.03879506045688302</v>
      </c>
      <c r="D5" s="331">
        <f>(B53*C57)+D89</f>
        <v>1272891.4730683719</v>
      </c>
    </row>
    <row r="6" spans="1:4" ht="15.75">
      <c r="A6" s="166" t="s">
        <v>16</v>
      </c>
      <c r="B6" s="300">
        <f>'Final Fully Diluted'!L18</f>
        <v>1000000</v>
      </c>
      <c r="C6" s="345">
        <f>'Final Fully Diluted'!M18</f>
        <v>0.03879506045688302</v>
      </c>
      <c r="D6" s="327">
        <f>(B53*C58)+D90</f>
        <v>1272891.4730683719</v>
      </c>
    </row>
    <row r="7" spans="1:4" ht="15.75">
      <c r="A7" s="167" t="s">
        <v>47</v>
      </c>
      <c r="B7" s="300">
        <f>'Final Fully Diluted'!L19</f>
        <v>833333.3333333334</v>
      </c>
      <c r="C7" s="345">
        <f>'Final Fully Diluted'!M19</f>
        <v>0.03232921704740251</v>
      </c>
      <c r="D7" s="327">
        <f>IF(B45="YES",B43+D91,B36)</f>
        <v>1000000</v>
      </c>
    </row>
    <row r="8" spans="1:4" ht="15.75">
      <c r="A8" s="167" t="s">
        <v>50</v>
      </c>
      <c r="B8" s="300">
        <f>'Final Fully Diluted'!L20</f>
        <v>6088433.764799982</v>
      </c>
      <c r="C8" s="345">
        <f>'Final Fully Diluted'!M20</f>
        <v>0.23620115599314317</v>
      </c>
      <c r="D8" s="327">
        <f>IF(B32="YES",B30+D92,B26)</f>
        <v>10000000</v>
      </c>
    </row>
    <row r="9" spans="1:4" ht="15.75">
      <c r="A9" s="299" t="s">
        <v>82</v>
      </c>
      <c r="B9" s="300">
        <f>'Final Fully Diluted'!L21</f>
        <v>12888238.711619021</v>
      </c>
      <c r="C9" s="345">
        <f>'Final Fully Diluted'!M21</f>
        <v>0.5</v>
      </c>
      <c r="D9" s="327">
        <f>B78</f>
        <v>31405329.15888955</v>
      </c>
    </row>
    <row r="10" spans="1:4" ht="15.75">
      <c r="A10" s="299"/>
      <c r="B10" s="300"/>
      <c r="C10" s="345"/>
      <c r="D10" s="327"/>
    </row>
    <row r="11" spans="1:4" ht="15.75">
      <c r="A11" s="167" t="s">
        <v>210</v>
      </c>
      <c r="B11" s="300">
        <f>'Final Fully Diluted'!L23</f>
        <v>100000</v>
      </c>
      <c r="C11" s="345">
        <f>'Final Fully Diluted'!M23</f>
        <v>0.0038795060456883017</v>
      </c>
      <c r="D11" s="327">
        <f>(B53*C62)+D93</f>
        <v>127289.1473068372</v>
      </c>
    </row>
    <row r="12" spans="1:4" ht="15.75">
      <c r="A12" s="166" t="s">
        <v>194</v>
      </c>
      <c r="B12" s="300">
        <f>'Final Fully Diluted'!L24</f>
        <v>3866471.613485706</v>
      </c>
      <c r="C12" s="345">
        <f>'Final Fully Diluted'!M24</f>
        <v>0.15</v>
      </c>
      <c r="D12" s="327">
        <f>(B53*C63)+D94</f>
        <v>4921598.747666865</v>
      </c>
    </row>
    <row r="13" spans="1:4" ht="16.5" thickBot="1">
      <c r="A13" s="168"/>
      <c r="B13" s="301"/>
      <c r="C13" s="346"/>
      <c r="D13" s="328"/>
    </row>
    <row r="14" spans="1:7" ht="16.5" thickBot="1">
      <c r="A14" s="298" t="s">
        <v>64</v>
      </c>
      <c r="B14" s="303">
        <f>SUM(B5:B13)</f>
        <v>25776477.423238043</v>
      </c>
      <c r="C14" s="329">
        <f>SUM(C5:C13)</f>
        <v>1</v>
      </c>
      <c r="D14" s="330">
        <f>SUM(D5:D13)</f>
        <v>49999999.99999999</v>
      </c>
      <c r="E14" s="97"/>
      <c r="F14" s="97"/>
      <c r="G14" s="97"/>
    </row>
    <row r="17" ht="12.75">
      <c r="A17" s="98" t="s">
        <v>152</v>
      </c>
    </row>
    <row r="18" spans="1:12" ht="12.75">
      <c r="A18" s="98"/>
      <c r="L18" s="2"/>
    </row>
    <row r="19" spans="1:12" ht="12.75">
      <c r="A19" s="97" t="s">
        <v>159</v>
      </c>
      <c r="L19" s="2"/>
    </row>
    <row r="20" spans="1:12" ht="12.75">
      <c r="A20" s="2" t="s">
        <v>150</v>
      </c>
      <c r="B20" s="304">
        <f>'Final Fully Diluted'!P5</f>
        <v>50000000</v>
      </c>
      <c r="L20" s="2"/>
    </row>
    <row r="21" spans="1:12" ht="12.75">
      <c r="A21" s="2" t="s">
        <v>160</v>
      </c>
      <c r="B21" s="246">
        <f>'Final Fully Diluted'!M6</f>
        <v>15000000</v>
      </c>
      <c r="L21" s="2"/>
    </row>
    <row r="22" spans="1:2" ht="13.5" thickBot="1">
      <c r="A22" s="97" t="s">
        <v>158</v>
      </c>
      <c r="B22" s="312">
        <f>B20-B21</f>
        <v>35000000</v>
      </c>
    </row>
    <row r="23" ht="13.5" thickTop="1"/>
    <row r="25" ht="12.75">
      <c r="A25" s="97" t="s">
        <v>177</v>
      </c>
    </row>
    <row r="26" spans="1:2" ht="12.75">
      <c r="A26" s="2" t="s">
        <v>161</v>
      </c>
      <c r="B26" s="246">
        <f>'Final Fully Diluted'!J8</f>
        <v>10000000</v>
      </c>
    </row>
    <row r="27" spans="1:2" ht="12.75">
      <c r="A27" s="2"/>
      <c r="B27" s="246"/>
    </row>
    <row r="28" spans="1:2" ht="12.75">
      <c r="A28" s="2" t="s">
        <v>163</v>
      </c>
      <c r="B28" s="347">
        <f>C8</f>
        <v>0.23620115599314317</v>
      </c>
    </row>
    <row r="29" spans="1:2" ht="12.75">
      <c r="A29" s="111" t="s">
        <v>164</v>
      </c>
      <c r="B29" s="246">
        <f>B22</f>
        <v>35000000</v>
      </c>
    </row>
    <row r="30" spans="1:2" ht="13.5" thickBot="1">
      <c r="A30" s="2" t="s">
        <v>165</v>
      </c>
      <c r="B30" s="315">
        <f>B29*B28</f>
        <v>8267040.459760011</v>
      </c>
    </row>
    <row r="31" spans="1:2" ht="13.5" thickTop="1">
      <c r="A31" s="2"/>
      <c r="B31" s="246"/>
    </row>
    <row r="32" spans="1:2" ht="25.5">
      <c r="A32" s="314" t="s">
        <v>166</v>
      </c>
      <c r="B32" s="246" t="str">
        <f>IF(B30&gt;B26,"YES","NO")</f>
        <v>NO</v>
      </c>
    </row>
    <row r="33" spans="1:2" ht="12.75">
      <c r="A33" s="314" t="s">
        <v>178</v>
      </c>
      <c r="B33" s="246" t="str">
        <f>IF(B32="YES","Series A Participating Amount","Series A Liquidation Preference")</f>
        <v>Series A Liquidation Preference</v>
      </c>
    </row>
    <row r="34" spans="1:2" ht="12.75">
      <c r="A34" s="2"/>
      <c r="B34" s="246"/>
    </row>
    <row r="35" spans="1:2" ht="12.75">
      <c r="A35" s="97" t="s">
        <v>179</v>
      </c>
      <c r="B35" s="246"/>
    </row>
    <row r="36" spans="1:2" ht="12.75">
      <c r="A36" s="2" t="s">
        <v>162</v>
      </c>
      <c r="B36" s="246">
        <f>'Final Fully Diluted'!G6</f>
        <v>1000000</v>
      </c>
    </row>
    <row r="37" spans="1:2" ht="12.75">
      <c r="A37" s="2"/>
      <c r="B37" s="246"/>
    </row>
    <row r="38" spans="1:2" ht="12.75">
      <c r="A38" s="2" t="s">
        <v>167</v>
      </c>
      <c r="B38" s="347">
        <f>C7</f>
        <v>0.03232921704740251</v>
      </c>
    </row>
    <row r="39" spans="1:2" ht="12.75">
      <c r="A39" s="111" t="s">
        <v>173</v>
      </c>
      <c r="B39" s="246"/>
    </row>
    <row r="40" spans="1:2" ht="12.75">
      <c r="A40" s="2" t="s">
        <v>158</v>
      </c>
      <c r="B40" s="246">
        <f>B22</f>
        <v>35000000</v>
      </c>
    </row>
    <row r="41" spans="1:2" ht="12.75">
      <c r="A41" s="111" t="s">
        <v>184</v>
      </c>
      <c r="B41" s="246">
        <f>IF(B32="YES",0,B26)</f>
        <v>10000000</v>
      </c>
    </row>
    <row r="42" spans="1:2" ht="12.75">
      <c r="A42" s="2" t="s">
        <v>174</v>
      </c>
      <c r="B42" s="316">
        <f>B40-B41</f>
        <v>25000000</v>
      </c>
    </row>
    <row r="43" spans="1:2" ht="13.5" thickBot="1">
      <c r="A43" s="2" t="s">
        <v>168</v>
      </c>
      <c r="B43" s="315">
        <f>B42*C7</f>
        <v>808230.4261850629</v>
      </c>
    </row>
    <row r="44" spans="1:2" ht="13.5" thickTop="1">
      <c r="A44" s="2"/>
      <c r="B44" s="246"/>
    </row>
    <row r="45" spans="1:2" ht="38.25" customHeight="1">
      <c r="A45" s="317" t="s">
        <v>169</v>
      </c>
      <c r="B45" s="246" t="str">
        <f>IF(B43&gt;B36,"YES","NO")</f>
        <v>NO</v>
      </c>
    </row>
    <row r="46" spans="1:2" ht="12.75">
      <c r="A46" s="314" t="s">
        <v>180</v>
      </c>
      <c r="B46" s="246" t="str">
        <f>IF(B45="YES","Series Seed Participating Amount","Series Seed Liquidation Preference")</f>
        <v>Series Seed Liquidation Preference</v>
      </c>
    </row>
    <row r="47" spans="1:2" ht="12.75">
      <c r="A47" s="314"/>
      <c r="B47" s="246"/>
    </row>
    <row r="48" ht="12.75">
      <c r="A48" s="97" t="s">
        <v>176</v>
      </c>
    </row>
    <row r="49" ht="12.75">
      <c r="A49" s="318" t="s">
        <v>175</v>
      </c>
    </row>
    <row r="50" spans="1:2" ht="12.75">
      <c r="A50" s="2" t="s">
        <v>158</v>
      </c>
      <c r="B50" s="246">
        <f>B22</f>
        <v>35000000</v>
      </c>
    </row>
    <row r="51" spans="1:2" ht="12.75">
      <c r="A51" s="111" t="s">
        <v>182</v>
      </c>
      <c r="B51" s="304">
        <f>B41</f>
        <v>10000000</v>
      </c>
    </row>
    <row r="52" spans="1:2" ht="12.75">
      <c r="A52" s="111" t="s">
        <v>183</v>
      </c>
      <c r="B52" s="304">
        <f>IF(B45="YES",0,B36)</f>
        <v>1000000</v>
      </c>
    </row>
    <row r="53" spans="1:2" ht="13.5" thickBot="1">
      <c r="A53" s="97" t="s">
        <v>181</v>
      </c>
      <c r="B53" s="319">
        <f>B50-B51-B52</f>
        <v>24000000</v>
      </c>
    </row>
    <row r="54" spans="1:2" ht="13.5" thickTop="1">
      <c r="A54" s="97"/>
      <c r="B54" s="320"/>
    </row>
    <row r="55" spans="1:2" ht="12.75">
      <c r="A55" s="318" t="s">
        <v>185</v>
      </c>
      <c r="B55" s="320"/>
    </row>
    <row r="56" spans="1:3" ht="12.75">
      <c r="A56" s="342"/>
      <c r="B56" s="318" t="s">
        <v>195</v>
      </c>
      <c r="C56" s="321" t="s">
        <v>186</v>
      </c>
    </row>
    <row r="57" spans="1:3" ht="12.75">
      <c r="A57" s="2" t="s">
        <v>15</v>
      </c>
      <c r="B57" s="273">
        <f>B5</f>
        <v>1000000</v>
      </c>
      <c r="C57" s="348">
        <f aca="true" t="shared" si="0" ref="C57:C63">B57/B$64</f>
        <v>0.05303714471118216</v>
      </c>
    </row>
    <row r="58" spans="1:3" ht="12.75">
      <c r="A58" s="2" t="s">
        <v>16</v>
      </c>
      <c r="B58" s="273">
        <f>B6</f>
        <v>1000000</v>
      </c>
      <c r="C58" s="348">
        <f t="shared" si="0"/>
        <v>0.05303714471118216</v>
      </c>
    </row>
    <row r="59" spans="1:3" ht="12.75">
      <c r="A59" s="2" t="s">
        <v>47</v>
      </c>
      <c r="B59" s="273">
        <f>IF(B45="YES",B7,0)</f>
        <v>0</v>
      </c>
      <c r="C59" s="348">
        <f t="shared" si="0"/>
        <v>0</v>
      </c>
    </row>
    <row r="60" spans="1:3" ht="12.75">
      <c r="A60" s="2" t="s">
        <v>50</v>
      </c>
      <c r="B60" s="273">
        <f>IF(B32="YES",B8,0)</f>
        <v>0</v>
      </c>
      <c r="C60" s="348">
        <f t="shared" si="0"/>
        <v>0</v>
      </c>
    </row>
    <row r="61" spans="1:3" ht="12.75">
      <c r="A61" s="2" t="s">
        <v>82</v>
      </c>
      <c r="B61" s="273">
        <f>B9</f>
        <v>12888238.711619021</v>
      </c>
      <c r="C61" s="348">
        <f t="shared" si="0"/>
        <v>0.683555381620398</v>
      </c>
    </row>
    <row r="62" spans="1:3" ht="12.75">
      <c r="A62" s="2" t="s">
        <v>212</v>
      </c>
      <c r="B62" s="273">
        <f>B11</f>
        <v>100000</v>
      </c>
      <c r="C62" s="348">
        <f t="shared" si="0"/>
        <v>0.005303714471118217</v>
      </c>
    </row>
    <row r="63" spans="1:3" ht="12.75">
      <c r="A63" s="2" t="s">
        <v>194</v>
      </c>
      <c r="B63" s="322">
        <f>B12</f>
        <v>3866471.613485706</v>
      </c>
      <c r="C63" s="349">
        <f t="shared" si="0"/>
        <v>0.20506661448611938</v>
      </c>
    </row>
    <row r="64" spans="1:3" ht="12.75">
      <c r="A64" s="97" t="s">
        <v>187</v>
      </c>
      <c r="B64" s="258">
        <f>SUM(B57:B63)</f>
        <v>18854710.32510473</v>
      </c>
      <c r="C64" s="323">
        <f>SUM(C57:C63)</f>
        <v>0.9999999999999999</v>
      </c>
    </row>
    <row r="65" spans="1:2" ht="12.75">
      <c r="A65" s="97"/>
      <c r="B65" s="320"/>
    </row>
    <row r="66" ht="12.75">
      <c r="B66" s="350"/>
    </row>
    <row r="67" spans="1:2" ht="12.75">
      <c r="A67" s="2" t="s">
        <v>222</v>
      </c>
      <c r="B67" s="246">
        <f>B53</f>
        <v>24000000</v>
      </c>
    </row>
    <row r="68" spans="1:2" ht="12.75">
      <c r="A68" s="2" t="s">
        <v>221</v>
      </c>
      <c r="B68" s="347">
        <f>C61</f>
        <v>0.683555381620398</v>
      </c>
    </row>
    <row r="69" spans="1:2" ht="12.75">
      <c r="A69" s="2" t="s">
        <v>170</v>
      </c>
      <c r="B69" s="316">
        <f>B67*B68</f>
        <v>16405329.15888955</v>
      </c>
    </row>
    <row r="70" spans="1:2" ht="12.75">
      <c r="A70" s="111" t="s">
        <v>171</v>
      </c>
      <c r="B70" s="246">
        <f>B21</f>
        <v>15000000</v>
      </c>
    </row>
    <row r="71" spans="1:2" ht="13.5" thickBot="1">
      <c r="A71" s="2" t="s">
        <v>192</v>
      </c>
      <c r="B71" s="313">
        <f>SUM(B69:B70)</f>
        <v>31405329.15888955</v>
      </c>
    </row>
    <row r="72" ht="13.5" thickTop="1"/>
    <row r="73" ht="12.75">
      <c r="A73" s="2" t="s">
        <v>189</v>
      </c>
    </row>
    <row r="74" spans="1:2" ht="12.75">
      <c r="A74" s="2" t="s">
        <v>188</v>
      </c>
      <c r="B74" s="246">
        <f>'Final Fully Diluted'!M6</f>
        <v>15000000</v>
      </c>
    </row>
    <row r="75" spans="1:2" ht="12.75">
      <c r="A75" s="111" t="s">
        <v>190</v>
      </c>
      <c r="B75">
        <v>3</v>
      </c>
    </row>
    <row r="76" spans="1:2" ht="12.75">
      <c r="A76" s="2" t="s">
        <v>191</v>
      </c>
      <c r="B76" s="325">
        <f>B74*B75</f>
        <v>45000000</v>
      </c>
    </row>
    <row r="77" spans="1:2" ht="12.75">
      <c r="A77" s="2" t="s">
        <v>193</v>
      </c>
      <c r="B77" s="324" t="str">
        <f>IF(B71&gt;B76,"YES","NO")</f>
        <v>NO</v>
      </c>
    </row>
    <row r="78" spans="1:2" ht="13.5" thickBot="1">
      <c r="A78" s="97" t="s">
        <v>172</v>
      </c>
      <c r="B78" s="319">
        <f>IF(B77="YES",B76,B71)</f>
        <v>31405329.15888955</v>
      </c>
    </row>
    <row r="79" ht="13.5" thickTop="1"/>
    <row r="80" ht="12.75">
      <c r="A80" s="97" t="s">
        <v>223</v>
      </c>
    </row>
    <row r="82" ht="12.75">
      <c r="A82" s="318" t="s">
        <v>224</v>
      </c>
    </row>
    <row r="83" spans="1:2" ht="12.75">
      <c r="A83" t="str">
        <f>A71</f>
        <v>Potential Payment to Series B Investors</v>
      </c>
      <c r="B83" s="246">
        <f>B71</f>
        <v>31405329.15888955</v>
      </c>
    </row>
    <row r="84" spans="1:2" ht="12.75">
      <c r="A84" s="111" t="s">
        <v>225</v>
      </c>
      <c r="B84" s="246">
        <f>B78</f>
        <v>31405329.15888955</v>
      </c>
    </row>
    <row r="85" spans="1:2" ht="13.5" thickBot="1">
      <c r="A85" s="2" t="s">
        <v>226</v>
      </c>
      <c r="B85" s="315">
        <f>IF((B83-B84)&gt;0,B83-B84,0)</f>
        <v>0</v>
      </c>
    </row>
    <row r="86" ht="13.5" thickTop="1"/>
    <row r="87" ht="12.75">
      <c r="A87" s="318" t="s">
        <v>227</v>
      </c>
    </row>
    <row r="88" spans="1:4" ht="12.75">
      <c r="A88" s="318"/>
      <c r="B88" s="318" t="str">
        <f>B56</f>
        <v>Common Shares</v>
      </c>
      <c r="C88" s="318" t="str">
        <f>C56</f>
        <v>Percentage</v>
      </c>
      <c r="D88" s="318" t="s">
        <v>228</v>
      </c>
    </row>
    <row r="89" spans="1:4" ht="12.75">
      <c r="A89" s="2" t="s">
        <v>15</v>
      </c>
      <c r="B89" s="357">
        <f>B57</f>
        <v>1000000</v>
      </c>
      <c r="C89" s="350">
        <f aca="true" t="shared" si="1" ref="C89:C94">B89/B$95</f>
        <v>0.16760324439317736</v>
      </c>
      <c r="D89" s="356">
        <f aca="true" t="shared" si="2" ref="D89:D94">B$85*C89</f>
        <v>0</v>
      </c>
    </row>
    <row r="90" spans="1:4" ht="12.75">
      <c r="A90" s="2" t="s">
        <v>16</v>
      </c>
      <c r="B90" s="357">
        <f>B58</f>
        <v>1000000</v>
      </c>
      <c r="C90" s="350">
        <f t="shared" si="1"/>
        <v>0.16760324439317736</v>
      </c>
      <c r="D90" s="356">
        <f t="shared" si="2"/>
        <v>0</v>
      </c>
    </row>
    <row r="91" spans="1:4" ht="12.75">
      <c r="A91" s="2" t="s">
        <v>47</v>
      </c>
      <c r="B91" s="357">
        <f>B59</f>
        <v>0</v>
      </c>
      <c r="C91" s="350">
        <f t="shared" si="1"/>
        <v>0</v>
      </c>
      <c r="D91" s="356">
        <f t="shared" si="2"/>
        <v>0</v>
      </c>
    </row>
    <row r="92" spans="1:4" ht="12.75">
      <c r="A92" s="2" t="s">
        <v>50</v>
      </c>
      <c r="B92" s="357">
        <f>B60</f>
        <v>0</v>
      </c>
      <c r="C92" s="350">
        <f t="shared" si="1"/>
        <v>0</v>
      </c>
      <c r="D92" s="356">
        <f t="shared" si="2"/>
        <v>0</v>
      </c>
    </row>
    <row r="93" spans="1:4" ht="12.75">
      <c r="A93" s="2" t="s">
        <v>212</v>
      </c>
      <c r="B93" s="357">
        <f>B62</f>
        <v>100000</v>
      </c>
      <c r="C93" s="350">
        <f t="shared" si="1"/>
        <v>0.016760324439317735</v>
      </c>
      <c r="D93" s="356">
        <f t="shared" si="2"/>
        <v>0</v>
      </c>
    </row>
    <row r="94" spans="1:4" ht="12.75">
      <c r="A94" s="2" t="s">
        <v>194</v>
      </c>
      <c r="B94" s="322">
        <f>B63</f>
        <v>3866471.613485706</v>
      </c>
      <c r="C94" s="358">
        <f t="shared" si="1"/>
        <v>0.6480331867743275</v>
      </c>
      <c r="D94" s="359">
        <f t="shared" si="2"/>
        <v>0</v>
      </c>
    </row>
    <row r="95" spans="1:4" ht="12.75">
      <c r="A95" s="97" t="s">
        <v>187</v>
      </c>
      <c r="B95" s="360">
        <f>SUM(B89:B94)</f>
        <v>5966471.613485706</v>
      </c>
      <c r="C95" s="362">
        <f>SUM(C89:C94)</f>
        <v>1</v>
      </c>
      <c r="D95" s="361">
        <f>SUM(D89:D94)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="120" zoomScaleNormal="120" zoomScalePageLayoutView="0" workbookViewId="0" topLeftCell="A1">
      <pane ySplit="14" topLeftCell="A1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59.7109375" style="0" customWidth="1"/>
    <col min="2" max="4" width="15.7109375" style="0" customWidth="1"/>
  </cols>
  <sheetData>
    <row r="1" spans="1:3" ht="15.75">
      <c r="A1" s="295" t="s">
        <v>148</v>
      </c>
      <c r="B1" s="297"/>
      <c r="C1" s="207"/>
    </row>
    <row r="2" spans="1:3" ht="12.75">
      <c r="A2" s="3" t="s">
        <v>9</v>
      </c>
      <c r="B2" s="4">
        <f ca="1">TODAY()</f>
        <v>42627</v>
      </c>
      <c r="C2" s="1"/>
    </row>
    <row r="3" ht="13.5" thickBot="1"/>
    <row r="4" spans="1:4" ht="32.25" thickBot="1">
      <c r="A4" s="61" t="s">
        <v>22</v>
      </c>
      <c r="B4" s="49" t="s">
        <v>23</v>
      </c>
      <c r="C4" s="50" t="s">
        <v>41</v>
      </c>
      <c r="D4" s="326" t="s">
        <v>149</v>
      </c>
    </row>
    <row r="5" spans="1:4" ht="15.75">
      <c r="A5" s="165" t="s">
        <v>15</v>
      </c>
      <c r="B5" s="302">
        <f>'Final Fully Diluted'!L17</f>
        <v>1000000</v>
      </c>
      <c r="C5" s="344">
        <f>'Final Fully Diluted'!M17</f>
        <v>0.03879506045688302</v>
      </c>
      <c r="D5" s="331">
        <f>(B53*C57)+D89</f>
        <v>4267456.650257131</v>
      </c>
    </row>
    <row r="6" spans="1:4" ht="15.75">
      <c r="A6" s="166" t="s">
        <v>16</v>
      </c>
      <c r="B6" s="300">
        <f>'Final Fully Diluted'!L18</f>
        <v>1000000</v>
      </c>
      <c r="C6" s="345">
        <f>'Final Fully Diluted'!M18</f>
        <v>0.03879506045688302</v>
      </c>
      <c r="D6" s="327">
        <f>(B53*C58)+D90</f>
        <v>4267456.650257131</v>
      </c>
    </row>
    <row r="7" spans="1:4" ht="15.75">
      <c r="A7" s="167" t="s">
        <v>47</v>
      </c>
      <c r="B7" s="300">
        <f>'Final Fully Diluted'!L19</f>
        <v>833333.3333333334</v>
      </c>
      <c r="C7" s="345">
        <f>'Final Fully Diluted'!M19</f>
        <v>0.03232921704740251</v>
      </c>
      <c r="D7" s="327">
        <f>IF(B45="YES",B43+D91,B36)</f>
        <v>3556213.875214277</v>
      </c>
    </row>
    <row r="8" spans="1:4" ht="15.75">
      <c r="A8" s="167" t="s">
        <v>50</v>
      </c>
      <c r="B8" s="300">
        <f>'Final Fully Diluted'!L20</f>
        <v>6088433.764799982</v>
      </c>
      <c r="C8" s="345">
        <f>'Final Fully Diluted'!M20</f>
        <v>0.23620115599314317</v>
      </c>
      <c r="D8" s="327">
        <f>IF(B32="YES",B30+D92,B26)</f>
        <v>25982127.159245748</v>
      </c>
    </row>
    <row r="9" spans="1:4" ht="15.75">
      <c r="A9" s="299" t="s">
        <v>82</v>
      </c>
      <c r="B9" s="300">
        <f>'Final Fully Diluted'!L21</f>
        <v>12888238.711619021</v>
      </c>
      <c r="C9" s="345">
        <f>'Final Fully Diluted'!M21</f>
        <v>0.5</v>
      </c>
      <c r="D9" s="327">
        <f>B78</f>
        <v>45000000</v>
      </c>
    </row>
    <row r="10" spans="1:4" ht="15.75">
      <c r="A10" s="299"/>
      <c r="B10" s="300"/>
      <c r="C10" s="345"/>
      <c r="D10" s="327"/>
    </row>
    <row r="11" spans="1:4" ht="15.75">
      <c r="A11" s="167" t="s">
        <v>210</v>
      </c>
      <c r="B11" s="300">
        <f>'Final Fully Diluted'!L23</f>
        <v>100000</v>
      </c>
      <c r="C11" s="345">
        <f>'Final Fully Diluted'!M23</f>
        <v>0.0038795060456883017</v>
      </c>
      <c r="D11" s="327">
        <f>(B53*C62)+D93</f>
        <v>426745.66502571316</v>
      </c>
    </row>
    <row r="12" spans="1:4" ht="15.75">
      <c r="A12" s="166" t="s">
        <v>194</v>
      </c>
      <c r="B12" s="300">
        <f>'Final Fully Diluted'!L24</f>
        <v>3866471.613485706</v>
      </c>
      <c r="C12" s="345">
        <f>'Final Fully Diluted'!M24</f>
        <v>0.15</v>
      </c>
      <c r="D12" s="327">
        <f>(B53*C63)+D94</f>
        <v>16500000</v>
      </c>
    </row>
    <row r="13" spans="1:4" ht="16.5" thickBot="1">
      <c r="A13" s="168"/>
      <c r="B13" s="301"/>
      <c r="C13" s="346"/>
      <c r="D13" s="328"/>
    </row>
    <row r="14" spans="1:7" ht="16.5" thickBot="1">
      <c r="A14" s="298" t="s">
        <v>64</v>
      </c>
      <c r="B14" s="303">
        <f>SUM(B5:B13)</f>
        <v>25776477.423238043</v>
      </c>
      <c r="C14" s="329">
        <f>SUM(C5:C13)</f>
        <v>1</v>
      </c>
      <c r="D14" s="330">
        <f>SUM(D5:D13)</f>
        <v>100000000</v>
      </c>
      <c r="E14" s="97"/>
      <c r="F14" s="97"/>
      <c r="G14" s="97"/>
    </row>
    <row r="17" ht="12.75">
      <c r="A17" s="98" t="s">
        <v>152</v>
      </c>
    </row>
    <row r="18" spans="1:12" ht="12.75">
      <c r="A18" s="98"/>
      <c r="L18" s="2"/>
    </row>
    <row r="19" spans="1:12" ht="12.75">
      <c r="A19" s="97" t="s">
        <v>159</v>
      </c>
      <c r="L19" s="2"/>
    </row>
    <row r="20" spans="1:12" ht="12.75">
      <c r="A20" s="2" t="s">
        <v>150</v>
      </c>
      <c r="B20" s="304">
        <f>'Final Fully Diluted'!S5</f>
        <v>100000000</v>
      </c>
      <c r="L20" s="2"/>
    </row>
    <row r="21" spans="1:12" ht="12.75">
      <c r="A21" s="2" t="s">
        <v>160</v>
      </c>
      <c r="B21" s="246">
        <f>'Final Fully Diluted'!M6</f>
        <v>15000000</v>
      </c>
      <c r="L21" s="2"/>
    </row>
    <row r="22" spans="1:2" ht="13.5" thickBot="1">
      <c r="A22" s="97" t="s">
        <v>158</v>
      </c>
      <c r="B22" s="312">
        <f>B20-B21</f>
        <v>85000000</v>
      </c>
    </row>
    <row r="23" ht="13.5" thickTop="1"/>
    <row r="25" ht="12.75">
      <c r="A25" s="97" t="s">
        <v>177</v>
      </c>
    </row>
    <row r="26" spans="1:2" ht="12.75">
      <c r="A26" s="2" t="s">
        <v>161</v>
      </c>
      <c r="B26" s="246">
        <f>'Final Fully Diluted'!J8</f>
        <v>10000000</v>
      </c>
    </row>
    <row r="27" spans="1:2" ht="12.75">
      <c r="A27" s="2"/>
      <c r="B27" s="246"/>
    </row>
    <row r="28" spans="1:2" ht="12.75">
      <c r="A28" s="2" t="s">
        <v>163</v>
      </c>
      <c r="B28" s="347">
        <f>C8</f>
        <v>0.23620115599314317</v>
      </c>
    </row>
    <row r="29" spans="1:2" ht="12.75">
      <c r="A29" s="111" t="s">
        <v>164</v>
      </c>
      <c r="B29" s="246">
        <f>B22</f>
        <v>85000000</v>
      </c>
    </row>
    <row r="30" spans="1:2" ht="13.5" thickBot="1">
      <c r="A30" s="2" t="s">
        <v>165</v>
      </c>
      <c r="B30" s="315">
        <f>B29*B28</f>
        <v>20077098.25941717</v>
      </c>
    </row>
    <row r="31" spans="1:2" ht="13.5" thickTop="1">
      <c r="A31" s="2"/>
      <c r="B31" s="246"/>
    </row>
    <row r="32" spans="1:2" ht="25.5">
      <c r="A32" s="314" t="s">
        <v>166</v>
      </c>
      <c r="B32" s="246" t="str">
        <f>IF(B30&gt;B26,"YES","NO")</f>
        <v>YES</v>
      </c>
    </row>
    <row r="33" spans="1:2" ht="12.75">
      <c r="A33" s="314" t="s">
        <v>178</v>
      </c>
      <c r="B33" s="246" t="str">
        <f>IF(B32="YES","Series A Participating Amount","Series A Liquidation Preference")</f>
        <v>Series A Participating Amount</v>
      </c>
    </row>
    <row r="34" spans="1:2" ht="12.75">
      <c r="A34" s="2"/>
      <c r="B34" s="246"/>
    </row>
    <row r="35" spans="1:2" ht="12.75">
      <c r="A35" s="97" t="s">
        <v>179</v>
      </c>
      <c r="B35" s="246"/>
    </row>
    <row r="36" spans="1:2" ht="12.75">
      <c r="A36" s="2" t="s">
        <v>162</v>
      </c>
      <c r="B36" s="246">
        <f>'Final Fully Diluted'!G6</f>
        <v>1000000</v>
      </c>
    </row>
    <row r="37" spans="1:2" ht="12.75">
      <c r="A37" s="2"/>
      <c r="B37" s="246"/>
    </row>
    <row r="38" spans="1:2" ht="12.75">
      <c r="A38" s="2" t="s">
        <v>167</v>
      </c>
      <c r="B38" s="347">
        <f>C7</f>
        <v>0.03232921704740251</v>
      </c>
    </row>
    <row r="39" spans="1:2" ht="12.75">
      <c r="A39" s="111" t="s">
        <v>173</v>
      </c>
      <c r="B39" s="246"/>
    </row>
    <row r="40" spans="1:2" ht="12.75">
      <c r="A40" s="2" t="s">
        <v>158</v>
      </c>
      <c r="B40" s="246">
        <f>B22</f>
        <v>85000000</v>
      </c>
    </row>
    <row r="41" spans="1:2" ht="12.75">
      <c r="A41" s="111" t="s">
        <v>184</v>
      </c>
      <c r="B41" s="246">
        <f>IF(B32="YES",0,B26)</f>
        <v>0</v>
      </c>
    </row>
    <row r="42" spans="1:2" ht="12.75">
      <c r="A42" s="2" t="s">
        <v>174</v>
      </c>
      <c r="B42" s="316">
        <f>B40-B41</f>
        <v>85000000</v>
      </c>
    </row>
    <row r="43" spans="1:2" ht="13.5" thickBot="1">
      <c r="A43" s="2" t="s">
        <v>168</v>
      </c>
      <c r="B43" s="315">
        <f>B42*C7</f>
        <v>2747983.4490292137</v>
      </c>
    </row>
    <row r="44" spans="1:2" ht="13.5" thickTop="1">
      <c r="A44" s="2"/>
      <c r="B44" s="246"/>
    </row>
    <row r="45" spans="1:2" ht="38.25" customHeight="1">
      <c r="A45" s="317" t="s">
        <v>169</v>
      </c>
      <c r="B45" s="246" t="str">
        <f>IF(B43&gt;B36,"YES","NO")</f>
        <v>YES</v>
      </c>
    </row>
    <row r="46" spans="1:2" ht="12.75">
      <c r="A46" s="314" t="s">
        <v>180</v>
      </c>
      <c r="B46" s="246" t="str">
        <f>IF(B45="YES","Series Seed Participating Amount","Series Seed Liquidation Preference")</f>
        <v>Series Seed Participating Amount</v>
      </c>
    </row>
    <row r="47" spans="1:2" ht="12.75">
      <c r="A47" s="314"/>
      <c r="B47" s="246"/>
    </row>
    <row r="48" ht="12.75">
      <c r="A48" s="97" t="s">
        <v>176</v>
      </c>
    </row>
    <row r="49" ht="12.75">
      <c r="A49" s="318" t="s">
        <v>175</v>
      </c>
    </row>
    <row r="50" spans="1:2" ht="12.75">
      <c r="A50" s="2" t="s">
        <v>158</v>
      </c>
      <c r="B50" s="246">
        <f>B22</f>
        <v>85000000</v>
      </c>
    </row>
    <row r="51" spans="1:2" ht="12.75">
      <c r="A51" s="111" t="s">
        <v>182</v>
      </c>
      <c r="B51" s="304">
        <f>B41</f>
        <v>0</v>
      </c>
    </row>
    <row r="52" spans="1:2" ht="12.75">
      <c r="A52" s="111" t="s">
        <v>183</v>
      </c>
      <c r="B52" s="304">
        <f>IF(B45="YES",0,B36)</f>
        <v>0</v>
      </c>
    </row>
    <row r="53" spans="1:2" ht="13.5" thickBot="1">
      <c r="A53" s="97" t="s">
        <v>181</v>
      </c>
      <c r="B53" s="319">
        <f>B50-B51-B52</f>
        <v>85000000</v>
      </c>
    </row>
    <row r="54" spans="1:2" ht="13.5" thickTop="1">
      <c r="A54" s="97"/>
      <c r="B54" s="320"/>
    </row>
    <row r="55" spans="1:2" ht="12.75">
      <c r="A55" s="318" t="s">
        <v>185</v>
      </c>
      <c r="B55" s="320"/>
    </row>
    <row r="56" spans="1:3" ht="12.75">
      <c r="A56" s="342"/>
      <c r="B56" s="318" t="s">
        <v>195</v>
      </c>
      <c r="C56" s="321" t="s">
        <v>186</v>
      </c>
    </row>
    <row r="57" spans="1:3" ht="12.75">
      <c r="A57" s="2" t="s">
        <v>15</v>
      </c>
      <c r="B57" s="273">
        <f>B5</f>
        <v>1000000</v>
      </c>
      <c r="C57" s="348">
        <f aca="true" t="shared" si="0" ref="C57:C63">B57/B$64</f>
        <v>0.03879506045688302</v>
      </c>
    </row>
    <row r="58" spans="1:3" ht="12.75">
      <c r="A58" s="2" t="s">
        <v>16</v>
      </c>
      <c r="B58" s="273">
        <f>B6</f>
        <v>1000000</v>
      </c>
      <c r="C58" s="348">
        <f t="shared" si="0"/>
        <v>0.03879506045688302</v>
      </c>
    </row>
    <row r="59" spans="1:3" ht="12.75">
      <c r="A59" s="2" t="s">
        <v>47</v>
      </c>
      <c r="B59" s="273">
        <f>IF(B45="YES",B7,0)</f>
        <v>833333.3333333334</v>
      </c>
      <c r="C59" s="348">
        <f t="shared" si="0"/>
        <v>0.03232921704740251</v>
      </c>
    </row>
    <row r="60" spans="1:3" ht="12.75">
      <c r="A60" s="2" t="s">
        <v>50</v>
      </c>
      <c r="B60" s="273">
        <f>IF(B32="YES",B8,0)</f>
        <v>6088433.764799982</v>
      </c>
      <c r="C60" s="348">
        <f t="shared" si="0"/>
        <v>0.23620115599314317</v>
      </c>
    </row>
    <row r="61" spans="1:3" ht="12.75">
      <c r="A61" s="2" t="s">
        <v>82</v>
      </c>
      <c r="B61" s="273">
        <f>B9</f>
        <v>12888238.711619021</v>
      </c>
      <c r="C61" s="348">
        <f t="shared" si="0"/>
        <v>0.5</v>
      </c>
    </row>
    <row r="62" spans="1:3" ht="12.75">
      <c r="A62" s="2" t="s">
        <v>212</v>
      </c>
      <c r="B62" s="273">
        <f>B11</f>
        <v>100000</v>
      </c>
      <c r="C62" s="348">
        <f t="shared" si="0"/>
        <v>0.0038795060456883017</v>
      </c>
    </row>
    <row r="63" spans="1:3" ht="12.75">
      <c r="A63" s="2" t="s">
        <v>194</v>
      </c>
      <c r="B63" s="322">
        <f>B12</f>
        <v>3866471.613485706</v>
      </c>
      <c r="C63" s="349">
        <f t="shared" si="0"/>
        <v>0.15</v>
      </c>
    </row>
    <row r="64" spans="1:3" ht="12.75">
      <c r="A64" s="97" t="s">
        <v>187</v>
      </c>
      <c r="B64" s="258">
        <f>SUM(B57:B63)</f>
        <v>25776477.423238043</v>
      </c>
      <c r="C64" s="323">
        <f>SUM(C57:C63)</f>
        <v>1</v>
      </c>
    </row>
    <row r="65" spans="1:2" ht="12.75">
      <c r="A65" s="97"/>
      <c r="B65" s="320"/>
    </row>
    <row r="66" ht="12.75">
      <c r="B66" s="350"/>
    </row>
    <row r="67" spans="1:2" ht="12.75">
      <c r="A67" s="2" t="s">
        <v>222</v>
      </c>
      <c r="B67" s="246">
        <f>B53</f>
        <v>85000000</v>
      </c>
    </row>
    <row r="68" spans="1:2" ht="12.75">
      <c r="A68" s="2" t="s">
        <v>221</v>
      </c>
      <c r="B68" s="347">
        <f>C61</f>
        <v>0.5</v>
      </c>
    </row>
    <row r="69" spans="1:2" ht="12.75">
      <c r="A69" s="2" t="s">
        <v>170</v>
      </c>
      <c r="B69" s="316">
        <f>B67*B68</f>
        <v>42500000</v>
      </c>
    </row>
    <row r="70" spans="1:2" ht="12.75">
      <c r="A70" s="111" t="s">
        <v>171</v>
      </c>
      <c r="B70" s="246">
        <f>B21</f>
        <v>15000000</v>
      </c>
    </row>
    <row r="71" spans="1:2" ht="13.5" thickBot="1">
      <c r="A71" s="2" t="s">
        <v>192</v>
      </c>
      <c r="B71" s="313">
        <f>SUM(B69:B70)</f>
        <v>57500000</v>
      </c>
    </row>
    <row r="72" ht="13.5" thickTop="1"/>
    <row r="73" ht="12.75">
      <c r="A73" s="2" t="s">
        <v>189</v>
      </c>
    </row>
    <row r="74" spans="1:2" ht="12.75">
      <c r="A74" s="2" t="s">
        <v>188</v>
      </c>
      <c r="B74" s="246">
        <f>'Final Fully Diluted'!M6</f>
        <v>15000000</v>
      </c>
    </row>
    <row r="75" spans="1:2" ht="12.75">
      <c r="A75" s="111" t="s">
        <v>190</v>
      </c>
      <c r="B75">
        <v>3</v>
      </c>
    </row>
    <row r="76" spans="1:2" ht="12.75">
      <c r="A76" s="2" t="s">
        <v>191</v>
      </c>
      <c r="B76" s="325">
        <f>B74*B75</f>
        <v>45000000</v>
      </c>
    </row>
    <row r="77" spans="1:2" ht="12.75">
      <c r="A77" s="2" t="s">
        <v>193</v>
      </c>
      <c r="B77" s="324" t="str">
        <f>IF(B71&gt;B76,"YES","NO")</f>
        <v>YES</v>
      </c>
    </row>
    <row r="78" spans="1:2" ht="13.5" thickBot="1">
      <c r="A78" s="97" t="s">
        <v>172</v>
      </c>
      <c r="B78" s="319">
        <f>IF(B77="YES",B76,B71)</f>
        <v>45000000</v>
      </c>
    </row>
    <row r="79" ht="13.5" thickTop="1"/>
    <row r="80" ht="12.75">
      <c r="A80" s="97" t="s">
        <v>223</v>
      </c>
    </row>
    <row r="82" ht="12.75">
      <c r="A82" s="318" t="s">
        <v>224</v>
      </c>
    </row>
    <row r="83" spans="1:2" ht="12.75">
      <c r="A83" t="str">
        <f>A71</f>
        <v>Potential Payment to Series B Investors</v>
      </c>
      <c r="B83" s="246">
        <f>B71</f>
        <v>57500000</v>
      </c>
    </row>
    <row r="84" spans="1:2" ht="12.75">
      <c r="A84" s="111" t="s">
        <v>225</v>
      </c>
      <c r="B84" s="246">
        <f>B78</f>
        <v>45000000</v>
      </c>
    </row>
    <row r="85" spans="1:2" ht="13.5" thickBot="1">
      <c r="A85" s="2" t="s">
        <v>226</v>
      </c>
      <c r="B85" s="315">
        <f>IF((B83-B84)&gt;0,B83-B84,0)</f>
        <v>12500000</v>
      </c>
    </row>
    <row r="86" ht="13.5" thickTop="1"/>
    <row r="87" ht="12.75">
      <c r="A87" s="318" t="s">
        <v>227</v>
      </c>
    </row>
    <row r="88" spans="1:4" ht="12.75">
      <c r="A88" s="318"/>
      <c r="B88" s="318" t="str">
        <f>B56</f>
        <v>Common Shares</v>
      </c>
      <c r="C88" s="318" t="str">
        <f>C56</f>
        <v>Percentage</v>
      </c>
      <c r="D88" s="318" t="s">
        <v>228</v>
      </c>
    </row>
    <row r="89" spans="1:4" ht="12.75">
      <c r="A89" s="2" t="s">
        <v>15</v>
      </c>
      <c r="B89" s="357">
        <f>B57</f>
        <v>1000000</v>
      </c>
      <c r="C89" s="350">
        <f aca="true" t="shared" si="1" ref="C89:C94">B89/B$95</f>
        <v>0.07759012091376602</v>
      </c>
      <c r="D89" s="356">
        <f aca="true" t="shared" si="2" ref="D89:D94">B$85*C89</f>
        <v>969876.5114220752</v>
      </c>
    </row>
    <row r="90" spans="1:4" ht="12.75">
      <c r="A90" s="2" t="s">
        <v>16</v>
      </c>
      <c r="B90" s="357">
        <f>B58</f>
        <v>1000000</v>
      </c>
      <c r="C90" s="350">
        <f t="shared" si="1"/>
        <v>0.07759012091376602</v>
      </c>
      <c r="D90" s="356">
        <f t="shared" si="2"/>
        <v>969876.5114220752</v>
      </c>
    </row>
    <row r="91" spans="1:4" ht="12.75">
      <c r="A91" s="2" t="s">
        <v>47</v>
      </c>
      <c r="B91" s="357">
        <f>B59</f>
        <v>833333.3333333334</v>
      </c>
      <c r="C91" s="350">
        <f t="shared" si="1"/>
        <v>0.06465843409480503</v>
      </c>
      <c r="D91" s="356">
        <f t="shared" si="2"/>
        <v>808230.4261850629</v>
      </c>
    </row>
    <row r="92" spans="1:4" ht="12.75">
      <c r="A92" s="2" t="s">
        <v>50</v>
      </c>
      <c r="B92" s="357">
        <f>B60</f>
        <v>6088433.764799982</v>
      </c>
      <c r="C92" s="350">
        <f t="shared" si="1"/>
        <v>0.4724023119862863</v>
      </c>
      <c r="D92" s="356">
        <f t="shared" si="2"/>
        <v>5905028.899828578</v>
      </c>
    </row>
    <row r="93" spans="1:4" ht="12.75">
      <c r="A93" s="2" t="s">
        <v>212</v>
      </c>
      <c r="B93" s="357">
        <f>B62</f>
        <v>100000</v>
      </c>
      <c r="C93" s="350">
        <f t="shared" si="1"/>
        <v>0.007759012091376602</v>
      </c>
      <c r="D93" s="356">
        <f t="shared" si="2"/>
        <v>96987.65114220753</v>
      </c>
    </row>
    <row r="94" spans="1:4" ht="12.75">
      <c r="A94" s="2" t="s">
        <v>194</v>
      </c>
      <c r="B94" s="322">
        <f>B63</f>
        <v>3866471.613485706</v>
      </c>
      <c r="C94" s="358">
        <f t="shared" si="1"/>
        <v>0.29999999999999993</v>
      </c>
      <c r="D94" s="359">
        <f t="shared" si="2"/>
        <v>3749999.999999999</v>
      </c>
    </row>
    <row r="95" spans="1:4" ht="12.75">
      <c r="A95" s="97" t="s">
        <v>187</v>
      </c>
      <c r="B95" s="360">
        <f>SUM(B89:B94)</f>
        <v>12888238.711619023</v>
      </c>
      <c r="C95" s="362">
        <f>SUM(C89:C94)</f>
        <v>0.9999999999999999</v>
      </c>
      <c r="D95" s="361">
        <f>SUM(D89:D94)</f>
        <v>12500000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2016-09-14T17:00:09Z</dcterms:created>
  <dcterms:modified xsi:type="dcterms:W3CDTF">2016-09-14T17:00:09Z</dcterms:modified>
  <cp:category/>
  <cp:version/>
  <cp:contentType/>
  <cp:contentStatus/>
</cp:coreProperties>
</file>